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R167" i="18" l="1"/>
  <c r="P166" i="18" l="1"/>
  <c r="W292" i="18"/>
  <c r="G132" i="18" l="1"/>
  <c r="J132" i="18" s="1"/>
  <c r="G131" i="18"/>
  <c r="J131" i="18" s="1"/>
  <c r="W291" i="18"/>
  <c r="D86" i="52"/>
  <c r="O190" i="52"/>
  <c r="J190" i="52"/>
  <c r="L47" i="18"/>
  <c r="U294" i="18" l="1"/>
  <c r="W290" i="18"/>
  <c r="AB88" i="52"/>
  <c r="AC88" i="52" l="1"/>
  <c r="N54" i="18"/>
  <c r="P27" i="18"/>
  <c r="N27" i="18" s="1"/>
  <c r="P26" i="18"/>
  <c r="N26" i="18" s="1"/>
  <c r="N52" i="18"/>
  <c r="O187" i="52" l="1"/>
  <c r="W289" i="18"/>
  <c r="O19" i="18" l="1"/>
  <c r="J186" i="52"/>
  <c r="W288" i="18"/>
  <c r="W276" i="18"/>
  <c r="W275" i="18"/>
  <c r="J185" i="52" l="1"/>
  <c r="P33" i="18"/>
  <c r="N33" i="18" s="1"/>
  <c r="W287" i="18"/>
  <c r="AB86" i="52" l="1"/>
  <c r="AB87" i="52"/>
  <c r="AB96" i="52" s="1"/>
  <c r="AB94" i="52"/>
  <c r="AC94" i="52" s="1"/>
  <c r="AC87" i="52" l="1"/>
  <c r="AC86" i="52"/>
  <c r="AB85" i="52"/>
  <c r="AC85" i="52" l="1"/>
  <c r="M110" i="18"/>
  <c r="N181" i="52"/>
  <c r="W286" i="18" l="1"/>
  <c r="P25" i="18"/>
  <c r="N25" i="18" s="1"/>
  <c r="B8" i="36"/>
  <c r="O178" i="52" l="1"/>
  <c r="J178" i="52"/>
  <c r="N24" i="18" l="1"/>
  <c r="N49" i="18"/>
  <c r="W285" i="18"/>
  <c r="O177" i="52"/>
  <c r="J177" i="52"/>
  <c r="AB84" i="52"/>
  <c r="AC84" i="52" s="1"/>
  <c r="AB83" i="52" l="1"/>
  <c r="O176" i="52"/>
  <c r="J176" i="52"/>
  <c r="AC83" i="52" l="1"/>
  <c r="AB82" i="52"/>
  <c r="AC82" i="52" l="1"/>
  <c r="P32" i="18"/>
  <c r="N32" i="18" s="1"/>
  <c r="P23" i="18"/>
  <c r="N23" i="18" s="1"/>
  <c r="N50" i="18"/>
  <c r="J174" i="52"/>
  <c r="W284" i="18"/>
  <c r="AB81" i="52"/>
  <c r="AB80" i="52"/>
  <c r="AB97" i="52" l="1"/>
  <c r="AB98" i="52"/>
  <c r="AB99" i="52" s="1"/>
  <c r="AC80" i="52"/>
  <c r="AC81" i="52"/>
  <c r="J168" i="52"/>
  <c r="O168" i="52"/>
  <c r="W283" i="18"/>
  <c r="AL323" i="18" l="1"/>
  <c r="AM323" i="18" s="1"/>
  <c r="O167" i="52"/>
  <c r="W282" i="18"/>
  <c r="AL322" i="18" l="1"/>
  <c r="O166" i="52"/>
  <c r="W281" i="18"/>
  <c r="AL321" i="18" l="1"/>
  <c r="AM322" i="18"/>
  <c r="W280"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9"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8" i="18"/>
  <c r="AB78" i="52"/>
  <c r="AC78" i="52" s="1"/>
  <c r="AL191" i="18" l="1"/>
  <c r="AM192" i="18"/>
  <c r="AM315" i="18"/>
  <c r="AL314" i="18"/>
  <c r="W277" i="18"/>
  <c r="AM191" i="18" l="1"/>
  <c r="AL190" i="18"/>
  <c r="AL313" i="18"/>
  <c r="AM314" i="18"/>
  <c r="AF76" i="52"/>
  <c r="AB77" i="52"/>
  <c r="AC77" i="52" s="1"/>
  <c r="AB76" i="52"/>
  <c r="AC76" i="52" s="1"/>
  <c r="AL189" i="18" l="1"/>
  <c r="AM190" i="18"/>
  <c r="AM313" i="18"/>
  <c r="AL312" i="18"/>
  <c r="N159" i="52"/>
  <c r="P160" i="52" s="1"/>
  <c r="W274"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3" i="18"/>
  <c r="K113" i="18"/>
  <c r="W272" i="18"/>
  <c r="O150" i="52"/>
  <c r="AM185" i="18" l="1"/>
  <c r="AL184" i="18"/>
  <c r="AL307" i="18"/>
  <c r="AM308" i="18"/>
  <c r="AL183" i="18" l="1"/>
  <c r="AM184" i="18"/>
  <c r="AM307" i="18"/>
  <c r="AL306" i="18"/>
  <c r="AD59" i="52"/>
  <c r="Q146" i="52"/>
  <c r="J146" i="52"/>
  <c r="W27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0" i="18"/>
  <c r="AM181" i="18" l="1"/>
  <c r="AL180" i="18"/>
  <c r="AL303" i="18"/>
  <c r="AM304" i="18"/>
  <c r="G138" i="18"/>
  <c r="J138" i="18" s="1"/>
  <c r="J140" i="18" s="1"/>
  <c r="I140" i="18" s="1"/>
  <c r="G130" i="18"/>
  <c r="J130" i="18" s="1"/>
  <c r="W269" i="18"/>
  <c r="J134" i="18" l="1"/>
  <c r="I134" i="18" s="1"/>
  <c r="AM180" i="18"/>
  <c r="AL179" i="18"/>
  <c r="AM303" i="18"/>
  <c r="AL302" i="18"/>
  <c r="O142" i="52"/>
  <c r="J142" i="52"/>
  <c r="N47" i="18"/>
  <c r="W268" i="18"/>
  <c r="P28" i="18"/>
  <c r="AM179" i="18" l="1"/>
  <c r="AL178" i="18"/>
  <c r="AM178" i="18" s="1"/>
  <c r="AL301" i="18"/>
  <c r="AM302" i="18"/>
  <c r="P31" i="18"/>
  <c r="N31" i="18" s="1"/>
  <c r="O140" i="52"/>
  <c r="J140" i="52"/>
  <c r="W267" i="18"/>
  <c r="AM301" i="18" l="1"/>
  <c r="AL300" i="18"/>
  <c r="W266" i="18"/>
  <c r="W265" i="18"/>
  <c r="O139" i="52"/>
  <c r="J139" i="52"/>
  <c r="AB73" i="52"/>
  <c r="AL299" i="18" l="1"/>
  <c r="AM299" i="18" s="1"/>
  <c r="AM300" i="18"/>
  <c r="AD73" i="52"/>
  <c r="AC73" i="52"/>
  <c r="W264" i="18"/>
  <c r="AB72" i="52" l="1"/>
  <c r="AD72" i="52" s="1"/>
  <c r="AB71" i="52"/>
  <c r="AD71" i="52" s="1"/>
  <c r="AC72" i="52" l="1"/>
  <c r="AC71" i="52"/>
  <c r="M41" i="52"/>
  <c r="O135" i="52" l="1"/>
  <c r="J135" i="52"/>
  <c r="AD57" i="52"/>
  <c r="AB69" i="52"/>
  <c r="AD69" i="52" s="1"/>
  <c r="AB70" i="52"/>
  <c r="AD70" i="52" s="1"/>
  <c r="AC70" i="52" l="1"/>
  <c r="AC69" i="52"/>
  <c r="W263" i="18" l="1"/>
  <c r="O132" i="52" l="1"/>
  <c r="W262" i="18"/>
  <c r="O131" i="52" l="1"/>
  <c r="J3" i="60"/>
  <c r="J4" i="60"/>
  <c r="J5" i="60"/>
  <c r="J2" i="60"/>
  <c r="I9" i="60"/>
  <c r="I7" i="60"/>
  <c r="O130" i="52" l="1"/>
  <c r="O129" i="52"/>
  <c r="W261" i="18"/>
  <c r="S220" i="18"/>
  <c r="W260" i="18"/>
  <c r="N129" i="52" l="1"/>
  <c r="O127" i="52" l="1"/>
  <c r="J126" i="52" l="1"/>
  <c r="O126" i="52"/>
  <c r="W259" i="18"/>
  <c r="O125" i="52" l="1"/>
  <c r="J125" i="52"/>
  <c r="AL298" i="18" l="1"/>
  <c r="W258"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6" i="18"/>
  <c r="AL294" i="18" l="1"/>
  <c r="AM295" i="18"/>
  <c r="D90" i="58"/>
  <c r="AM294" i="18" l="1"/>
  <c r="AL293" i="18"/>
  <c r="O121" i="52"/>
  <c r="J121" i="52"/>
  <c r="W255" i="18"/>
  <c r="AM293" i="18" l="1"/>
  <c r="AL292" i="18"/>
  <c r="W254" i="18"/>
  <c r="J120" i="52"/>
  <c r="M108" i="18"/>
  <c r="AM292" i="18" l="1"/>
  <c r="AL291" i="18"/>
  <c r="AM291" i="18" l="1"/>
  <c r="AL290" i="18"/>
  <c r="O117" i="52"/>
  <c r="AM290" i="18" l="1"/>
  <c r="AL289" i="18"/>
  <c r="O116" i="52"/>
  <c r="N116" i="52"/>
  <c r="AL288" i="18" l="1"/>
  <c r="AM289" i="18"/>
  <c r="W253"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2" i="18"/>
  <c r="J108" i="52"/>
  <c r="AM280" i="18" l="1"/>
  <c r="AL279" i="18"/>
  <c r="D303" i="15"/>
  <c r="F304" i="15"/>
  <c r="W251" i="18"/>
  <c r="W250" i="18"/>
  <c r="AM279" i="18" l="1"/>
  <c r="AL278" i="18"/>
  <c r="F303" i="15"/>
  <c r="D302" i="15"/>
  <c r="O106" i="52"/>
  <c r="J106" i="52"/>
  <c r="D301" i="15" l="1"/>
  <c r="F302" i="15"/>
  <c r="J104" i="52"/>
  <c r="G123" i="18"/>
  <c r="J123" i="18" s="1"/>
  <c r="J126" i="18" s="1"/>
  <c r="E276" i="15"/>
  <c r="E277" i="15"/>
  <c r="E278" i="15"/>
  <c r="E279" i="15"/>
  <c r="E280" i="15"/>
  <c r="D300" i="15" l="1"/>
  <c r="F301" i="15"/>
  <c r="W24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7" i="18"/>
  <c r="J90" i="52"/>
  <c r="J95" i="52"/>
  <c r="W247"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3" i="18"/>
  <c r="T310" i="18" s="1"/>
  <c r="W246" i="18"/>
  <c r="W245" i="18"/>
  <c r="W244" i="18"/>
  <c r="M48" i="52"/>
  <c r="M47" i="52"/>
  <c r="N38" i="52"/>
  <c r="N37" i="52"/>
  <c r="M49" i="52"/>
  <c r="N50" i="52" s="1"/>
  <c r="AM269" i="18" l="1"/>
  <c r="AL268" i="18"/>
  <c r="D287" i="15"/>
  <c r="F288" i="15"/>
  <c r="N49" i="52"/>
  <c r="W243" i="18"/>
  <c r="AM268" i="18" l="1"/>
  <c r="AL267" i="18"/>
  <c r="F287" i="15"/>
  <c r="D286" i="15"/>
  <c r="I126" i="18" l="1"/>
  <c r="AL266" i="18"/>
  <c r="AM267" i="18"/>
  <c r="D285" i="15"/>
  <c r="F286" i="15"/>
  <c r="W242"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M264" i="18" l="1"/>
  <c r="AL263" i="18"/>
  <c r="F283" i="15"/>
  <c r="D282" i="15"/>
  <c r="G32" i="57"/>
  <c r="H32" i="57"/>
  <c r="D32" i="57"/>
  <c r="I32" i="57" s="1"/>
  <c r="D345" i="20"/>
  <c r="W240" i="18"/>
  <c r="W239" i="18"/>
  <c r="AL262" i="18" l="1"/>
  <c r="AM263" i="18"/>
  <c r="D281" i="15"/>
  <c r="F282" i="15"/>
  <c r="W175" i="18"/>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8" i="18"/>
  <c r="D343" i="20"/>
  <c r="F279" i="15" l="1"/>
  <c r="D278" i="15"/>
  <c r="W237" i="18"/>
  <c r="D342" i="20"/>
  <c r="J83" i="52"/>
  <c r="O83" i="52"/>
  <c r="W236" i="18"/>
  <c r="W235" i="18"/>
  <c r="F44" i="14"/>
  <c r="F45" i="14"/>
  <c r="F46" i="14"/>
  <c r="F47" i="14"/>
  <c r="F48" i="14"/>
  <c r="F49" i="14"/>
  <c r="F50" i="14"/>
  <c r="D341" i="20"/>
  <c r="F278" i="15" l="1"/>
  <c r="D277" i="15"/>
  <c r="AJ324" i="18"/>
  <c r="D276" i="15" l="1"/>
  <c r="F276" i="15" s="1"/>
  <c r="F277" i="15"/>
  <c r="W234" i="18"/>
  <c r="D340" i="20" l="1"/>
  <c r="W233" i="18"/>
  <c r="H337" i="20"/>
  <c r="H338" i="20"/>
  <c r="H339" i="20"/>
  <c r="H340" i="20"/>
  <c r="H341" i="20"/>
  <c r="H368" i="20"/>
  <c r="H369" i="20"/>
  <c r="D339" i="20"/>
  <c r="B371" i="20" l="1"/>
  <c r="D332" i="20"/>
  <c r="D333" i="20"/>
  <c r="D334" i="20"/>
  <c r="D335" i="20"/>
  <c r="D336" i="20"/>
  <c r="D337" i="20"/>
  <c r="D338" i="20"/>
  <c r="D369" i="20"/>
  <c r="W232" i="18" l="1"/>
  <c r="D80" i="57"/>
  <c r="AD46" i="52" l="1"/>
  <c r="AE46" i="52"/>
  <c r="G46" i="10"/>
  <c r="D331" i="20" l="1"/>
  <c r="D330" i="20" l="1"/>
  <c r="W231" i="18" l="1"/>
  <c r="W23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9" i="18" l="1"/>
  <c r="W228" i="18"/>
  <c r="Z40" i="52" l="1"/>
  <c r="Z39" i="52"/>
  <c r="Z38" i="52"/>
  <c r="AD38" i="52"/>
  <c r="AD39" i="52"/>
  <c r="AD40" i="52"/>
  <c r="AE40" i="52"/>
  <c r="AE39" i="52"/>
  <c r="AE38" i="52"/>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39" i="18"/>
  <c r="N36" i="52"/>
  <c r="N35" i="52"/>
  <c r="Q42" i="52"/>
  <c r="AD37" i="52"/>
  <c r="AD36" i="52"/>
  <c r="AD35" i="52"/>
  <c r="AD34" i="52"/>
  <c r="AD33" i="52"/>
  <c r="Z37" i="52"/>
  <c r="Z36" i="52"/>
  <c r="Z35" i="52"/>
  <c r="Z34" i="52"/>
  <c r="Z33" i="52"/>
  <c r="AE37" i="52"/>
  <c r="AE36" i="52"/>
  <c r="AE35" i="52"/>
  <c r="AE34" i="52"/>
  <c r="AE33" i="52"/>
  <c r="W225" i="18" l="1"/>
  <c r="W22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3" i="18" l="1"/>
  <c r="W222" i="18"/>
  <c r="AD31" i="52"/>
  <c r="AD30" i="52"/>
  <c r="Z31" i="52"/>
  <c r="Z30" i="52"/>
  <c r="AE31" i="52"/>
  <c r="AE30" i="52"/>
  <c r="AD29" i="52"/>
  <c r="Z29" i="52"/>
  <c r="AE29" i="52"/>
  <c r="AD28" i="52"/>
  <c r="Z28" i="52"/>
  <c r="AE28" i="52"/>
  <c r="N32" i="52"/>
  <c r="N31" i="52"/>
  <c r="W221" i="18" l="1"/>
  <c r="W220" i="18"/>
  <c r="N30" i="52"/>
  <c r="N29" i="52"/>
  <c r="AD27" i="52"/>
  <c r="Z27" i="52"/>
  <c r="AE27" i="52"/>
  <c r="W219" i="18" l="1"/>
  <c r="W218" i="18"/>
  <c r="N28" i="52"/>
  <c r="N27" i="52"/>
  <c r="AD26" i="52" l="1"/>
  <c r="AE26" i="52"/>
  <c r="AL259" i="18" l="1"/>
  <c r="D313" i="20"/>
  <c r="AL258" i="18" l="1"/>
  <c r="AM259" i="18"/>
  <c r="L114" i="18"/>
  <c r="L111" i="18" s="1"/>
  <c r="N111" i="18" s="1"/>
  <c r="L110" i="18" l="1"/>
  <c r="M114" i="18"/>
  <c r="AM258" i="18"/>
  <c r="AL257" i="18"/>
  <c r="L106" i="18"/>
  <c r="W217" i="18"/>
  <c r="W216"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5" i="18"/>
  <c r="W214" i="18"/>
  <c r="N23" i="52"/>
  <c r="N22" i="52"/>
  <c r="Z24" i="52"/>
  <c r="AD24" i="52"/>
  <c r="AE24" i="52"/>
  <c r="I368" i="20" l="1"/>
  <c r="G367" i="20"/>
  <c r="J368" i="20"/>
  <c r="K368" i="20"/>
  <c r="AL254" i="18"/>
  <c r="AM255" i="18"/>
  <c r="W213" i="18"/>
  <c r="W212"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1" i="18"/>
  <c r="W210"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9" i="18"/>
  <c r="W20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AD14" i="52"/>
  <c r="AE14" i="52"/>
  <c r="AD13" i="52"/>
  <c r="AE13" i="52"/>
  <c r="Z14" i="52"/>
  <c r="D296" i="20"/>
  <c r="D295" i="20"/>
  <c r="AM163" i="18" l="1"/>
  <c r="AL162" i="18"/>
  <c r="K349" i="20"/>
  <c r="I349" i="20"/>
  <c r="J349" i="20"/>
  <c r="G348" i="20"/>
  <c r="W202" i="18"/>
  <c r="W201"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2" i="18"/>
  <c r="W195" i="18"/>
  <c r="D278" i="20"/>
  <c r="AL140" i="18" l="1"/>
  <c r="AM141" i="18"/>
  <c r="J327" i="20"/>
  <c r="K327" i="20"/>
  <c r="G326" i="20"/>
  <c r="I327" i="20"/>
  <c r="W173"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53" i="18"/>
  <c r="AM120" i="18" l="1"/>
  <c r="AL119" i="18"/>
  <c r="AM119" i="18" l="1"/>
  <c r="AL118" i="18"/>
  <c r="T170" i="18"/>
  <c r="S76" i="18"/>
  <c r="S77" i="18" s="1"/>
  <c r="S78" i="18" s="1"/>
  <c r="R191" i="18"/>
  <c r="R189" i="18"/>
  <c r="D57" i="51"/>
  <c r="AL117" i="18" l="1"/>
  <c r="AM118" i="18"/>
  <c r="S79" i="18"/>
  <c r="S80" i="18" s="1"/>
  <c r="AM117" i="18" l="1"/>
  <c r="AL116" i="18"/>
  <c r="S81" i="18"/>
  <c r="S82" i="18" s="1"/>
  <c r="N34" i="18"/>
  <c r="Q100"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7"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6" i="18" s="1"/>
  <c r="S124" i="18" l="1"/>
  <c r="S125" i="18" s="1"/>
  <c r="S126" i="18" s="1"/>
  <c r="Q162" i="18"/>
  <c r="R199" i="18"/>
  <c r="M106" i="18"/>
  <c r="N106" i="18" s="1"/>
  <c r="N114" i="18" s="1"/>
  <c r="AJ203" i="18"/>
  <c r="AJ204" i="18" s="1"/>
  <c r="G305" i="20"/>
  <c r="I306" i="20"/>
  <c r="K306" i="20"/>
  <c r="J306" i="20"/>
  <c r="AL74" i="18"/>
  <c r="AM75" i="18"/>
  <c r="U310" i="18" l="1"/>
  <c r="T297" i="18"/>
  <c r="V300"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5"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10" i="18"/>
  <c r="V27" i="18"/>
  <c r="W27" i="18" s="1"/>
  <c r="V125" i="18"/>
  <c r="V161"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5" i="18"/>
  <c r="V175"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4" i="18"/>
  <c r="R183" i="18" s="1"/>
  <c r="G302" i="20"/>
  <c r="K303" i="20"/>
  <c r="I303" i="20"/>
  <c r="J303" i="20"/>
  <c r="X27" i="18"/>
  <c r="W161" i="18"/>
  <c r="X161"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3" i="18"/>
  <c r="S172" i="18"/>
  <c r="R182"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2" i="18" l="1"/>
  <c r="W126" i="18"/>
  <c r="U174" i="18"/>
  <c r="V174" i="18" s="1"/>
  <c r="N37" i="18"/>
  <c r="L21" i="18" s="1"/>
  <c r="U173" i="18"/>
  <c r="V17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S157" i="18"/>
  <c r="J225" i="20"/>
  <c r="K225" i="20"/>
  <c r="G224" i="20"/>
  <c r="I225" i="20"/>
  <c r="E147" i="13"/>
  <c r="G148" i="13"/>
  <c r="V157" i="18" l="1"/>
  <c r="W157" i="18" s="1"/>
  <c r="S158" i="18"/>
  <c r="V156" i="18"/>
  <c r="W156" i="18" s="1"/>
  <c r="J224" i="20"/>
  <c r="K224" i="20"/>
  <c r="G223" i="20"/>
  <c r="I224" i="20"/>
  <c r="E146" i="13"/>
  <c r="G147" i="13"/>
  <c r="K47" i="32"/>
  <c r="U47" i="32" s="1"/>
  <c r="U46" i="32"/>
  <c r="V158" i="18" l="1"/>
  <c r="S159" i="18"/>
  <c r="V159" i="18" s="1"/>
  <c r="X157" i="18"/>
  <c r="W158" i="18"/>
  <c r="X158" i="18"/>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<sst xmlns="http://schemas.openxmlformats.org/spreadsheetml/2006/main" count="12456" uniqueCount="5276">
  <si>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</si>
  <si>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</si>
  <si>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</si>
  <si>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</si>
  <si>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</si>
  <si>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</si>
  <si>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</si>
  <si>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</si>
  <si>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</si>
  <si>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</si>
  <si>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</si>
  <si>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</si>
  <si>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</si>
  <si>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</si>
  <si>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</si>
  <si>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</si>
  <si>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</si>
  <si>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</si>
  <si>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</si>
  <si>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</si>
  <si>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</si>
  <si>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</si>
  <si>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</si>
  <si>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</si>
  <si>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</si>
  <si>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</si>
  <si>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</si>
  <si>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</si>
  <si>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</si>
  <si>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</si>
  <si>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</si>
  <si>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</si>
  <si>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</si>
  <si>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</si>
  <si>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</si>
  <si>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</si>
  <si>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</si>
  <si>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</si>
  <si>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</si>
  <si>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</si>
  <si>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</si>
  <si>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</si>
  <si>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</si>
  <si>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</si>
  <si>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</si>
  <si>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</si>
  <si>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</si>
  <si>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</si>
  <si>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</si>
  <si>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</si>
  <si>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</si>
  <si>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</si>
  <si>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</si>
  <si>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</si>
  <si>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</si>
  <si>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</si>
  <si>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</si>
  <si>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</si>
  <si>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</si>
  <si>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</si>
  <si>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</si>
  <si>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</si>
  <si>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</si>
  <si>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</si>
  <si>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</si>
  <si>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</si>
  <si>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</si>
  <si>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</si>
  <si>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</si>
  <si>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</si>
  <si>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</si>
  <si>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</si>
  <si>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</si>
  <si>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</si>
  <si>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</si>
  <si>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</si>
  <si>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</si>
  <si>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</si>
  <si>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</si>
  <si>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</si>
  <si>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</si>
  <si>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</si>
  <si>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</si>
  <si>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</si>
  <si>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</si>
  <si>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</si>
  <si>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</si>
  <si>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</si>
  <si>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</si>
  <si>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</si>
  <si>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</si>
  <si>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</si>
  <si>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</si>
  <si>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</si>
  <si>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</si>
  <si>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</si>
  <si>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</si>
  <si>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</si>
  <si>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</si>
  <si>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</si>
  <si>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</si>
  <si>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</si>
  <si>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</si>
  <si>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</si>
  <si>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</si>
  <si>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</si>
  <si>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</si>
  <si>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</si>
  <si>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</si>
  <si>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</si>
  <si>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</si>
  <si>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</si>
  <si>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</si>
  <si>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</si>
  <si>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</si>
  <si>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</si>
  <si>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</si>
  <si>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</si>
  <si>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</si>
  <si>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</si>
  <si>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</si>
  <si>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</si>
  <si>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</si>
  <si>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</si>
  <si>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</si>
  <si>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</si>
  <si>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</si>
  <si>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</si>
  <si>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</si>
  <si>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</si>
  <si>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</si>
  <si>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</si>
  <si>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</si>
  <si>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</si>
  <si>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</si>
  <si>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</si>
  <si>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</si>
  <si>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</si>
  <si>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</si>
  <si>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</si>
  <si>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</si>
  <si>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</si>
  <si>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</si>
  <si>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</si>
  <si>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</si>
  <si>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</si>
  <si>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</si>
  <si>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</si>
  <si>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</si>
  <si>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</si>
  <si>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</si>
  <si>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</si>
  <si>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</si>
  <si>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</si>
  <si>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</si>
  <si>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</si>
  <si>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</si>
  <si>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</si>
  <si>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</si>
  <si>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</si>
  <si>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</si>
  <si>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</si>
  <si>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</si>
  <si>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</si>
  <si>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</si>
  <si>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</si>
  <si>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</si>
  <si>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</si>
  <si>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</si>
  <si>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</si>
  <si>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</si>
  <si>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</si>
  <si>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</si>
  <si>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</si>
  <si>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</si>
  <si>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</si>
  <si>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</si>
  <si>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</si>
  <si>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</si>
  <si>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</si>
  <si>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</si>
  <si>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</si>
  <si>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</si>
  <si>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</si>
  <si>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</si>
  <si>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</si>
  <si>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</si>
  <si>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</si>
  <si>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</si>
  <si>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</si>
  <si>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</si>
  <si>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</si>
  <si>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</si>
  <si>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</si>
  <si>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</si>
  <si>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</si>
  <si>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</si>
  <si>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</si>
  <si>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</si>
  <si>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</si>
  <si>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</si>
  <si>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</si>
  <si>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</si>
  <si>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</si>
  <si>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</si>
  <si>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</si>
  <si>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</si>
  <si>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</si>
  <si>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</si>
  <si>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</si>
  <si>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</si>
  <si>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</si>
  <si>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</si>
  <si>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</si>
  <si>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</si>
  <si>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</si>
  <si>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</si>
  <si>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</si>
  <si>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</si>
  <si>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</si>
  <si>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</si>
  <si>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</si>
  <si>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</si>
  <si>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</si>
  <si>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</si>
  <si>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</si>
  <si>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</si>
  <si>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</si>
  <si>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</si>
  <si>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</si>
  <si>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</si>
  <si>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</si>
  <si>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</si>
  <si>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</si>
  <si>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</si>
  <si>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</si>
  <si>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</si>
  <si>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</si>
  <si>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</si>
  <si>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</si>
  <si>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</si>
  <si>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</si>
  <si>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</si>
  <si>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</si>
  <si>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</si>
  <si>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</si>
  <si>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</si>
  <si>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</si>
  <si>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</si>
  <si>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</si>
  <si>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</si>
  <si>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</si>
  <si>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</si>
  <si>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</si>
  <si>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</si>
  <si>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</si>
  <si>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</si>
  <si>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</si>
  <si>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</si>
  <si>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</si>
  <si>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</si>
  <si>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</si>
  <si>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</si>
  <si>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</si>
  <si>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</si>
  <si>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</si>
  <si>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</si>
  <si>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</si>
  <si>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</si>
  <si>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</si>
  <si>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</si>
  <si>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</si>
  <si>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</si>
  <si>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</si>
  <si>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</si>
  <si>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</si>
  <si>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</si>
  <si>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</si>
  <si>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</si>
  <si>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</si>
  <si>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</si>
  <si>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</si>
  <si>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</si>
  <si>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</si>
  <si>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</si>
  <si>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</si>
  <si>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</si>
  <si>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</si>
  <si>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</si>
  <si>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</si>
  <si>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</si>
  <si>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</si>
  <si>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</si>
  <si>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</si>
  <si>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</si>
  <si>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</si>
  <si>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</si>
  <si>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</si>
  <si>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</si>
  <si>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</si>
  <si>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</si>
  <si>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</si>
  <si>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</si>
  <si>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</si>
  <si>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</si>
  <si>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</si>
  <si>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</si>
  <si>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</si>
  <si>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</si>
  <si>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</si>
  <si>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</si>
  <si>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</si>
  <si>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</si>
  <si>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</si>
  <si>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</si>
  <si>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</si>
  <si>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</si>
  <si>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</si>
  <si>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</si>
  <si>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</si>
  <si>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</si>
  <si>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</si>
  <si>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</si>
  <si>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</si>
  <si>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</si>
  <si>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</si>
  <si>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</si>
  <si>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</si>
  <si>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</si>
  <si>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</si>
  <si>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</si>
  <si>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</si>
  <si>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</si>
  <si>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</si>
  <si>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</si>
  <si>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</si>
  <si>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</si>
  <si>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</si>
  <si>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</si>
  <si>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</si>
  <si>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</si>
  <si>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</si>
  <si>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</si>
  <si>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</si>
  <si>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</si>
  <si>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</si>
  <si>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</si>
  <si>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</si>
  <si>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</si>
  <si>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</si>
  <si>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</si>
  <si>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</si>
  <si>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</si>
  <si>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</si>
  <si>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</si>
  <si>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</si>
  <si>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</si>
  <si>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</si>
  <si>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</si>
  <si>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</si>
  <si>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</si>
  <si>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</si>
  <si>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</si>
  <si>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</si>
  <si>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</si>
  <si>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</si>
  <si>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</si>
  <si>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</si>
  <si>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</si>
  <si>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</si>
  <si>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</si>
  <si>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</si>
  <si>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</si>
  <si>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</si>
  <si>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</si>
  <si>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</si>
  <si>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</si>
  <si>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</si>
  <si>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</si>
  <si>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</si>
  <si>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</si>
  <si>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</si>
  <si>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</si>
  <si>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</si>
  <si>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</si>
  <si>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</si>
  <si>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</si>
  <si>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</si>
  <si>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</si>
  <si>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</si>
  <si>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</si>
  <si>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</si>
  <si>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</si>
  <si>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</si>
  <si>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</si>
  <si>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</si>
  <si>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</si>
  <si>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</si>
  <si>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</si>
  <si>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</si>
  <si>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</si>
  <si>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</si>
  <si>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</si>
  <si>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</si>
  <si>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</si>
  <si>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</si>
  <si>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</si>
  <si>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</si>
  <si>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</si>
  <si>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</si>
  <si>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</si>
  <si>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</si>
  <si>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</si>
  <si>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</si>
  <si>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</si>
  <si>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</si>
  <si>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</si>
  <si>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</si>
  <si>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</si>
  <si>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</si>
  <si>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</si>
  <si>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</si>
  <si>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</si>
  <si>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</si>
  <si>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</si>
  <si>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</si>
  <si>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</si>
  <si>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</si>
  <si>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</si>
  <si>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</si>
  <si>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</si>
  <si>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</si>
  <si>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</si>
  <si>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</si>
  <si>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</si>
  <si>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</si>
  <si>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</si>
  <si>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</si>
  <si>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</si>
  <si>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</si>
  <si>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</si>
  <si>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</si>
  <si>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</si>
  <si>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</si>
  <si>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</si>
  <si>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</si>
  <si>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</si>
  <si>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</si>
  <si>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</si>
  <si>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</si>
  <si>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</si>
  <si>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</si>
  <si>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</si>
  <si>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</si>
  <si>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</si>
  <si>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</si>
  <si>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</si>
  <si>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</si>
  <si>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</si>
  <si>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</si>
  <si>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</si>
  <si>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</si>
  <si>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</si>
  <si>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</si>
  <si>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</si>
  <si>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</si>
  <si>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</si>
  <si>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</si>
  <si>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</si>
  <si>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</si>
  <si>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</si>
  <si>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</si>
  <si>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</si>
  <si>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</si>
  <si>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</si>
  <si>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</si>
  <si>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</si>
  <si>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</si>
  <si>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</si>
  <si>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</si>
  <si>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</si>
  <si>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</si>
  <si>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</si>
  <si>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</si>
  <si>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</si>
  <si>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</si>
  <si>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</si>
  <si>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</si>
  <si>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</si>
  <si>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</si>
  <si>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</si>
  <si>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</si>
  <si>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</si>
  <si>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</si>
  <si>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</si>
  <si>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</si>
  <si>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</si>
  <si>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</si>
  <si>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</si>
  <si>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</si>
  <si>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</si>
  <si>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</si>
  <si>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</si>
  <si>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</si>
  <si>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</si>
  <si>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</si>
  <si>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</si>
  <si>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</si>
  <si>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</si>
  <si>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</si>
  <si>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</si>
  <si>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</si>
  <si>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</si>
  <si>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</si>
  <si>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</si>
  <si>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</si>
  <si>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</si>
  <si>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</si>
  <si>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</si>
  <si>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</si>
  <si>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</si>
  <si>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</si>
  <si>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</si>
  <si>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</si>
  <si>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</si>
  <si>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</si>
  <si>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</si>
  <si>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</si>
  <si>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</si>
  <si>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</si>
  <si>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</si>
  <si>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</si>
  <si>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</si>
  <si>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</si>
  <si>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</si>
  <si>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</si>
  <si>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</si>
  <si>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</si>
  <si>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</si>
  <si>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</si>
  <si>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</si>
  <si>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</si>
  <si>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</si>
  <si>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</si>
  <si>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</si>
  <si>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</si>
  <si>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</si>
  <si>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</si>
  <si>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</si>
  <si>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</si>
  <si>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</si>
  <si>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</si>
  <si>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</si>
  <si>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</si>
  <si>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</si>
  <si>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</si>
  <si>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</si>
  <si>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</si>
  <si>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</si>
  <si>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</si>
  <si>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</si>
  <si>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</si>
  <si>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</si>
  <si>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</si>
  <si>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</si>
  <si>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</si>
  <si>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</si>
  <si>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</si>
  <si>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</si>
  <si>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</si>
  <si>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</si>
  <si>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</si>
  <si>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</si>
  <si>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</si>
  <si>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</si>
  <si>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</si>
  <si>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</si>
  <si>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</si>
  <si>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</si>
  <si>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</si>
  <si>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</si>
  <si>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</si>
  <si>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</si>
  <si>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</si>
  <si>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</si>
  <si>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</si>
  <si>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</si>
  <si>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</si>
  <si>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</si>
  <si>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</si>
  <si>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</si>
  <si>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</si>
  <si>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</si>
  <si>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</si>
  <si>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</si>
  <si>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</si>
  <si>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</si>
  <si>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</si>
  <si>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</si>
  <si>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</si>
  <si>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</si>
  <si>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</si>
  <si>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</si>
  <si>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</si>
  <si>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</si>
  <si>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</si>
  <si>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</si>
  <si>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</si>
  <si>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</si>
  <si>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</si>
  <si>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</si>
  <si>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</si>
  <si>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</si>
  <si>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</si>
  <si>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</si>
  <si>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</si>
  <si>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</si>
  <si>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</si>
  <si>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</si>
  <si>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</si>
  <si>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</si>
  <si>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</si>
  <si>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</si>
  <si>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</si>
  <si>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</si>
  <si>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</si>
  <si>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</si>
  <si>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</si>
  <si>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</si>
  <si>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</si>
  <si>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</si>
  <si>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</si>
  <si>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</si>
  <si>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</si>
  <si>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</si>
  <si>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</si>
  <si>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</si>
  <si>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</si>
  <si>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</si>
  <si>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</si>
  <si>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</si>
  <si>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</si>
  <si>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</si>
  <si>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</si>
  <si>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</si>
  <si>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</si>
  <si>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</si>
  <si>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</si>
  <si>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</si>
  <si>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</si>
  <si>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</si>
  <si>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</si>
  <si>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</si>
  <si>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</si>
  <si>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</si>
  <si>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</si>
  <si>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</si>
  <si>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</si>
  <si>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</si>
  <si>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</si>
  <si>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</si>
  <si>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</si>
  <si>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</si>
  <si>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</si>
  <si>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</si>
  <si>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</si>
  <si>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</si>
  <si>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</si>
  <si>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</si>
  <si>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</si>
  <si>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</si>
  <si>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</si>
  <si>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</si>
  <si>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</si>
  <si>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</si>
  <si>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</si>
  <si>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</si>
  <si>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</si>
  <si>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</si>
  <si>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</si>
  <si>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</si>
  <si>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</si>
  <si>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</si>
  <si>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</si>
  <si>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</si>
  <si>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</si>
  <si>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</si>
  <si>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</si>
  <si>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</si>
  <si>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</si>
  <si>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</si>
  <si>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</si>
  <si>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</si>
  <si>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</si>
  <si>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</si>
  <si>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</si>
  <si>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</si>
  <si>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</si>
  <si>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</si>
  <si>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</si>
  <si>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</si>
  <si>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</si>
  <si>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</si>
  <si>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</si>
  <si>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</si>
  <si>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</si>
  <si>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</si>
  <si>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</si>
  <si>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</si>
  <si>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</si>
  <si>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</si>
  <si>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</si>
  <si>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</si>
  <si>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</si>
  <si>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</si>
  <si>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</si>
  <si>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</si>
  <si>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</si>
  <si>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</si>
  <si>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</si>
  <si>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</si>
  <si>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</si>
  <si>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</si>
  <si>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</si>
  <si>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</si>
  <si>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</si>
  <si>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</si>
  <si>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</si>
  <si>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</si>
  <si>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</si>
  <si>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</si>
  <si>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</si>
  <si>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</si>
  <si>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</si>
  <si>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</si>
  <si>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</si>
  <si>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</si>
  <si>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</si>
  <si>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</si>
  <si>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</si>
  <si>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</si>
  <si>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</si>
  <si>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</si>
  <si>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</si>
  <si>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</si>
  <si>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</si>
  <si>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</si>
  <si>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</si>
  <si>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</si>
  <si>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</si>
  <si>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</si>
  <si>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</si>
  <si>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</si>
  <si>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</si>
  <si>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</si>
  <si>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</si>
  <si>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</si>
  <si>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</si>
  <si>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</si>
  <si>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</si>
  <si>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</si>
  <si>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</si>
  <si>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</si>
  <si>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</si>
  <si>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</si>
  <si>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</si>
  <si>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</si>
  <si>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</si>
  <si>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</si>
  <si>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</si>
  <si>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</si>
  <si>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</si>
  <si>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</si>
  <si>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</si>
  <si>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</si>
  <si>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</si>
  <si>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</si>
  <si>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</si>
  <si>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</si>
  <si>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</si>
  <si>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</si>
  <si>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</si>
  <si>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</si>
  <si>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</si>
  <si>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</si>
  <si>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</si>
  <si>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</si>
  <si>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</si>
  <si>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</si>
  <si>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</si>
  <si>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</si>
  <si>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</si>
  <si>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</si>
  <si>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</si>
  <si>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</si>
  <si>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</si>
  <si>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</si>
  <si>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</si>
  <si>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</si>
  <si>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</si>
  <si>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</si>
  <si>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</si>
  <si>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</si>
  <si>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</si>
  <si>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</si>
  <si>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</si>
  <si>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</si>
  <si>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</si>
  <si>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</si>
  <si>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</si>
  <si>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</si>
  <si>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</si>
  <si>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</si>
  <si>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</si>
  <si>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</si>
  <si>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</si>
  <si>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</si>
  <si>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</si>
  <si>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</si>
  <si>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</si>
  <si>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</si>
  <si>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</si>
  <si>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</si>
  <si>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</si>
  <si>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</si>
  <si>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</si>
  <si>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</si>
  <si>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</si>
  <si>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</si>
  <si>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</si>
  <si>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</si>
  <si>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</si>
  <si>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</si>
  <si>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</si>
  <si>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</si>
  <si>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</si>
  <si>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</si>
  <si>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</si>
  <si>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</si>
  <si>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</si>
  <si>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</si>
  <si>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</si>
  <si>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</si>
  <si>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</si>
  <si>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</si>
  <si>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</si>
  <si>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</si>
  <si>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</si>
  <si>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</si>
  <si>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</si>
  <si>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</si>
  <si>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</si>
  <si>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</si>
  <si>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</si>
  <si>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</si>
  <si>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</si>
  <si>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</si>
  <si>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</si>
  <si>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</si>
  <si>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</si>
  <si>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</si>
  <si>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</si>
  <si>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</si>
  <si>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</si>
  <si>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</si>
  <si>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</si>
  <si>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</si>
  <si>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</si>
  <si>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</si>
  <si>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</si>
  <si>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</si>
  <si>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</si>
  <si>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</si>
  <si>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</si>
  <si>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</si>
  <si>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</si>
  <si>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</si>
  <si>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</si>
  <si>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</si>
  <si>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</si>
  <si>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</si>
  <si>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</si>
  <si>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</si>
  <si>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</si>
  <si>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</si>
  <si>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</si>
  <si>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</si>
  <si>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</si>
  <si>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</si>
  <si>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</si>
  <si>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</si>
  <si>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</si>
  <si>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</si>
  <si>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</si>
  <si>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</si>
  <si>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</si>
  <si>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</si>
  <si>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</si>
  <si>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</si>
  <si>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</si>
  <si>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</si>
  <si>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</si>
  <si>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</si>
  <si>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</si>
  <si>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</si>
  <si>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</si>
  <si>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</si>
  <si>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</si>
  <si>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</si>
  <si>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</si>
  <si>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</si>
  <si>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</si>
  <si>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</si>
  <si>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</si>
  <si>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</si>
  <si>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</si>
  <si>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</si>
  <si>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</si>
  <si>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</si>
  <si>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</si>
  <si>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</si>
  <si>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</si>
  <si>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</si>
  <si>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</si>
  <si>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</si>
  <si>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</si>
  <si>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</si>
  <si>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</si>
  <si>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</si>
  <si>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</si>
  <si>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</si>
  <si>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</si>
  <si>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</si>
  <si>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</si>
  <si>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</si>
  <si>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</si>
  <si>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</si>
  <si>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</si>
  <si>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</si>
  <si>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</si>
  <si>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</si>
  <si>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</si>
  <si>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</si>
  <si>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</si>
  <si>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</si>
  <si>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</si>
  <si>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</si>
  <si>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</si>
  <si>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</si>
  <si>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</si>
  <si>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</si>
  <si>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</si>
  <si>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</si>
  <si>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</si>
  <si>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</si>
  <si>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</si>
  <si>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</si>
  <si>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</si>
  <si>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</si>
  <si>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</si>
  <si>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</si>
  <si>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</si>
  <si>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</si>
  <si>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</si>
  <si>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</si>
  <si>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</si>
  <si>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</si>
  <si>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</si>
  <si>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</si>
  <si>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</si>
  <si>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</si>
  <si>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</si>
  <si>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</si>
  <si>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</si>
  <si>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</si>
  <si>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</si>
  <si>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</si>
  <si>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</si>
  <si>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</si>
  <si>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</si>
  <si>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</si>
  <si>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</si>
  <si>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</si>
  <si>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</si>
  <si>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</si>
  <si>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</si>
  <si>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</si>
  <si>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</si>
  <si>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</si>
  <si>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</si>
  <si>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</si>
  <si>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</si>
  <si>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</si>
  <si>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</si>
  <si>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</si>
  <si>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</si>
  <si>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</si>
  <si>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</si>
  <si>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</si>
  <si>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</si>
  <si>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</si>
  <si>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</si>
  <si>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</si>
  <si>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</si>
  <si>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</si>
  <si>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</si>
  <si>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</si>
  <si>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</si>
  <si>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</si>
  <si>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</si>
  <si>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</si>
  <si>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</si>
  <si>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</si>
  <si>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</si>
  <si>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</si>
  <si>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</si>
  <si>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</si>
  <si>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</si>
  <si>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</si>
  <si>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</si>
  <si>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</si>
  <si>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</si>
  <si>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</si>
  <si>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</si>
  <si>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</si>
  <si>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</si>
  <si>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</si>
  <si>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</si>
  <si>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</si>
  <si>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</si>
  <si>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</si>
  <si>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</si>
  <si>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</si>
  <si>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</si>
  <si>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</si>
  <si>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</si>
  <si>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</si>
  <si>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</si>
  <si>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</si>
  <si>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</si>
  <si>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</si>
  <si>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</si>
  <si>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</si>
  <si>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</si>
  <si>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</si>
  <si>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</si>
  <si>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</si>
  <si>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</si>
  <si>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</si>
  <si>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</si>
  <si>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</si>
  <si>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</si>
  <si>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</si>
  <si>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</si>
  <si>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</si>
  <si>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</si>
  <si>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</si>
  <si>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</si>
  <si>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</si>
  <si>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</si>
  <si>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</si>
  <si>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</si>
  <si>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</si>
  <si>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</si>
  <si>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</si>
  <si>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</si>
  <si>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</si>
  <si>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</si>
  <si>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</si>
  <si>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</si>
  <si>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</si>
  <si>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</si>
  <si>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</si>
  <si>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</si>
  <si>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</si>
  <si>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</si>
  <si>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</si>
  <si>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</si>
  <si>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</si>
  <si>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</si>
  <si>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</si>
  <si>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</si>
  <si>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</si>
  <si>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</si>
  <si>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</si>
  <si>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</si>
  <si>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</si>
  <si>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</si>
  <si>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</si>
  <si>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</si>
  <si>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</si>
  <si>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</si>
  <si>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</si>
  <si>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</si>
  <si>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</si>
  <si>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</si>
  <si>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</si>
  <si>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</si>
  <si>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</si>
  <si>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</si>
  <si>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</si>
  <si>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</si>
  <si>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</si>
  <si>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</si>
  <si>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</si>
  <si>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</si>
  <si>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</si>
  <si>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</si>
  <si>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</si>
  <si>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</si>
  <si>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</si>
  <si>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</si>
  <si>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</si>
  <si>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</si>
  <si>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</si>
  <si>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</si>
  <si>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</si>
  <si>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</si>
  <si>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</si>
  <si>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</si>
  <si>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</si>
  <si>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</si>
  <si>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</si>
  <si>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</si>
  <si>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</si>
  <si>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</si>
  <si>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</si>
  <si>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</si>
  <si>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</si>
  <si>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</si>
  <si>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</si>
  <si>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</si>
  <si>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</si>
  <si>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</si>
  <si>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</si>
  <si>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</si>
  <si>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</si>
  <si>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</si>
  <si>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</si>
  <si>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</si>
  <si>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</si>
  <si>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</si>
  <si>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</si>
  <si>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</si>
  <si>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</si>
  <si>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</si>
  <si>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</si>
  <si>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</si>
  <si>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</si>
  <si>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</si>
  <si>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</si>
  <si>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</si>
  <si>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</si>
  <si>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</si>
  <si>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</si>
  <si>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</si>
  <si>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</si>
  <si>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</si>
  <si>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</si>
  <si>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</si>
  <si>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</si>
  <si>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</si>
  <si>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</si>
  <si>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</si>
  <si>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</si>
  <si>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</si>
  <si>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</si>
  <si>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</si>
  <si>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</si>
  <si>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</si>
  <si>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</si>
  <si>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</si>
  <si>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</si>
  <si>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</si>
  <si>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</si>
  <si>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</si>
  <si>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</si>
  <si>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</si>
  <si>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</si>
  <si>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</si>
  <si>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</si>
  <si>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</si>
  <si>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</si>
  <si>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</si>
  <si>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</si>
  <si>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</si>
  <si>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</si>
  <si>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</si>
  <si>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</si>
  <si>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</si>
  <si>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</si>
  <si>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</si>
  <si>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</si>
  <si>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</si>
  <si>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</si>
  <si>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</si>
  <si>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</si>
  <si>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</si>
  <si>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</si>
  <si>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</si>
  <si>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</si>
  <si>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</si>
  <si>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</si>
  <si>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</si>
  <si>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</si>
  <si>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</si>
  <si>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</si>
  <si>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</si>
  <si>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</si>
  <si>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</si>
  <si>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</si>
  <si>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</si>
  <si>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</si>
  <si>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</si>
  <si>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</si>
  <si>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</si>
  <si>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</si>
  <si>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</si>
  <si>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</si>
  <si>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</si>
  <si>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</si>
  <si>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</si>
  <si>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</si>
  <si>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</si>
  <si>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</si>
  <si>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</si>
  <si>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</si>
  <si>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</si>
  <si>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</si>
  <si>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</si>
  <si>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</si>
  <si>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</si>
  <si>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</si>
  <si>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</si>
  <si>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</si>
  <si>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</si>
  <si>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</si>
  <si>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</si>
  <si>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</si>
  <si>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</si>
  <si>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</si>
  <si>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</si>
  <si>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</si>
  <si>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</si>
  <si>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</si>
  <si>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</si>
  <si>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</si>
  <si>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</si>
  <si>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</si>
  <si>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</si>
  <si>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</si>
  <si>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</si>
  <si>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</si>
  <si>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</si>
  <si>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</si>
  <si>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</si>
  <si>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</si>
  <si>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</si>
  <si>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</si>
  <si>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</si>
  <si>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</si>
  <si>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</si>
  <si>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</si>
  <si>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</si>
  <si>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</si>
  <si>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</si>
  <si>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</si>
  <si>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</si>
  <si>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</si>
  <si>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</si>
  <si>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</si>
  <si>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</si>
  <si>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</si>
  <si>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</si>
  <si>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</si>
  <si>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</si>
  <si>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</si>
  <si>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</si>
  <si>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</si>
  <si>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</si>
  <si>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</si>
  <si>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</si>
  <si>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</si>
  <si>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</si>
  <si>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</si>
  <si>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</si>
  <si>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</si>
  <si>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</si>
  <si>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</si>
  <si>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</si>
  <si>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</si>
  <si>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</si>
  <si>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</si>
  <si>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</si>
  <si>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</si>
  <si>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</si>
  <si>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</si>
  <si>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</si>
  <si>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</si>
  <si>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</si>
  <si>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</si>
  <si>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</si>
  <si>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</si>
  <si>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</si>
  <si>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</si>
  <si>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</si>
  <si>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</si>
  <si>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</si>
  <si>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</si>
  <si>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</si>
  <si>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</si>
  <si>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</si>
  <si>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</si>
  <si>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</si>
  <si>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</si>
  <si>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</si>
  <si>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</si>
  <si>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</si>
  <si>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</si>
  <si>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</si>
  <si>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</si>
  <si>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</si>
  <si>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</si>
  <si>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</si>
  <si>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</si>
  <si>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</si>
  <si>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</si>
  <si>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</si>
  <si>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</si>
  <si>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</si>
  <si>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</si>
  <si>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</si>
  <si>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</si>
  <si>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</si>
  <si>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</si>
  <si>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</si>
  <si>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</si>
  <si>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</si>
  <si>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</si>
  <si>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</si>
  <si>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</si>
  <si>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</si>
  <si>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</si>
  <si>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</si>
  <si>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</si>
  <si>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</si>
  <si>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</si>
  <si>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</si>
  <si>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</si>
  <si>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</si>
  <si>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</si>
  <si>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</si>
  <si>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</si>
  <si>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</si>
  <si>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</si>
  <si>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</si>
  <si>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</si>
  <si>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</si>
  <si>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</si>
  <si>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</si>
  <si>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</si>
  <si>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</si>
  <si>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</si>
  <si>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</si>
  <si>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</si>
  <si>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</si>
  <si>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</si>
  <si>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</si>
  <si>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</si>
  <si>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</si>
  <si>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</si>
  <si>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</si>
  <si>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</si>
  <si>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</si>
  <si>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</si>
  <si>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</si>
  <si>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</si>
  <si>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</si>
  <si>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</si>
  <si>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</si>
  <si>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</si>
  <si>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</si>
  <si>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</si>
  <si>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</si>
  <si>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</si>
  <si>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</si>
  <si>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</si>
  <si>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</si>
  <si>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</si>
  <si>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</si>
  <si>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</si>
  <si>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</si>
  <si>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</si>
  <si>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</si>
  <si>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</si>
  <si>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</si>
  <si>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</si>
  <si>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</si>
  <si>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</si>
  <si>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</si>
  <si>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</si>
  <si>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</si>
  <si>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</si>
  <si>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</si>
  <si>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</si>
  <si>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</si>
  <si>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</si>
  <si>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</si>
  <si>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</si>
  <si>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</si>
  <si>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</si>
  <si>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</si>
  <si>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</si>
  <si>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</si>
  <si>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</si>
  <si>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</si>
  <si>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</si>
  <si>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</si>
  <si>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</si>
  <si>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</si>
  <si>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</si>
  <si>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</si>
  <si>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</si>
  <si>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</si>
  <si>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</si>
  <si>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</si>
  <si>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</si>
  <si>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</si>
  <si>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</si>
  <si>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</si>
  <si>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</si>
  <si>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</si>
  <si>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</si>
  <si>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</si>
  <si>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</si>
  <si>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</si>
  <si>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</si>
  <si>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</si>
  <si>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</si>
  <si>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</si>
  <si>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</si>
  <si>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</si>
  <si>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</si>
  <si>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</si>
  <si>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</si>
  <si>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</si>
  <si>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</si>
  <si>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</si>
  <si>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</si>
  <si>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</si>
  <si>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</si>
  <si>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</si>
  <si>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</si>
  <si>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</si>
  <si>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</si>
  <si>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</si>
  <si>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</si>
  <si>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</si>
  <si>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</si>
  <si>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</si>
  <si>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</si>
  <si>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</si>
  <si>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</si>
  <si>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</si>
  <si>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</si>
  <si>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</si>
  <si>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</si>
  <si>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</si>
  <si>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</si>
  <si>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</si>
  <si>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</si>
  <si>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</si>
  <si>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</si>
  <si>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</si>
  <si>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</si>
  <si>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</si>
  <si>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</si>
  <si>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</si>
  <si>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</si>
  <si>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</si>
  <si>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</si>
  <si>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</si>
  <si>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</si>
  <si>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</si>
  <si>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</si>
  <si>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</si>
  <si>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</si>
  <si>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</si>
  <si>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</si>
  <si>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</si>
  <si>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</si>
  <si>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</si>
  <si>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</si>
  <si>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</si>
  <si>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</si>
  <si>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</si>
  <si>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</si>
  <si>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</si>
  <si>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</si>
  <si>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</si>
  <si>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</si>
  <si>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</si>
  <si>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</si>
  <si>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</si>
  <si>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</si>
  <si>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</si>
  <si>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</si>
  <si>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</si>
  <si>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</si>
  <si>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</si>
  <si>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</si>
  <si>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</si>
  <si>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</si>
  <si>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</si>
  <si>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</si>
  <si>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</si>
  <si>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</si>
  <si>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</si>
  <si>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</si>
  <si>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</si>
  <si>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</si>
  <si>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</si>
  <si>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</si>
  <si>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</si>
  <si>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</si>
  <si>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</si>
  <si>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</si>
  <si>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</si>
  <si>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</si>
  <si>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</si>
  <si>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</si>
  <si>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</si>
  <si>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</si>
  <si>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</si>
  <si>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</si>
  <si>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</si>
  <si>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</si>
  <si>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</si>
  <si>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</si>
  <si>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</si>
  <si>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</si>
  <si>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</si>
  <si>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</si>
  <si>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</si>
  <si>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</si>
  <si>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</si>
  <si>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</si>
  <si>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</si>
  <si>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</si>
  <si>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</si>
  <si>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</si>
  <si>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</si>
  <si>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</si>
  <si>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</si>
  <si>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</si>
  <si>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</si>
  <si>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</si>
  <si>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</si>
  <si>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</si>
  <si>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</si>
  <si>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</si>
  <si>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</si>
  <si>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</si>
  <si>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</si>
  <si>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</si>
  <si>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</si>
  <si>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</si>
  <si>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</si>
  <si>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</si>
  <si>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</si>
  <si>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</si>
  <si>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</si>
  <si>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</si>
  <si>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</si>
  <si>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</si>
  <si>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</si>
  <si>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</si>
  <si>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</si>
  <si>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</si>
  <si>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</si>
  <si>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</si>
  <si>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</si>
  <si>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</si>
  <si>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</si>
  <si>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</si>
  <si>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</si>
  <si>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</si>
  <si>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</si>
  <si>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</si>
  <si>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</si>
  <si>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</si>
  <si>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</si>
  <si>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</si>
  <si>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</si>
  <si>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</si>
  <si>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</si>
  <si>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</si>
  <si>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</si>
  <si>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</si>
  <si>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</si>
  <si>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</si>
  <si>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</si>
  <si>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</si>
  <si>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</si>
  <si>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</si>
  <si>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</si>
  <si>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</si>
  <si>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</si>
  <si>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</si>
  <si>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</si>
  <si>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</si>
  <si>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</si>
  <si>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</si>
  <si>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</si>
  <si>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</si>
  <si>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</si>
  <si>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</si>
  <si>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</si>
  <si>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</si>
  <si>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</si>
  <si>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</si>
  <si>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</si>
  <si>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</si>
  <si>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</si>
  <si>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</si>
  <si>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</si>
  <si>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</si>
  <si>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</si>
  <si>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</si>
  <si>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</si>
  <si>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</si>
  <si>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</si>
  <si>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</si>
  <si>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</si>
  <si>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</si>
  <si>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</si>
  <si>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</si>
  <si>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</si>
  <si>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</si>
  <si>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</si>
  <si>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</si>
  <si>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</si>
  <si>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</si>
  <si>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</si>
  <si>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</si>
  <si>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</si>
  <si>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</si>
  <si>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</si>
  <si>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</si>
  <si>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</si>
  <si>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</si>
  <si>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</si>
  <si>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</si>
  <si>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</si>
  <si>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</si>
  <si>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</si>
  <si>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</si>
  <si>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</si>
  <si>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</si>
  <si>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</si>
  <si>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</si>
  <si>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</si>
  <si>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</si>
  <si>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</si>
  <si>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</si>
  <si>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</si>
  <si>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</si>
  <si>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</si>
  <si>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</si>
  <si>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</si>
  <si>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</si>
  <si>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</si>
  <si>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</si>
  <si>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</si>
  <si>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</si>
  <si>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</si>
  <si>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</si>
  <si>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</si>
  <si>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</si>
  <si>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</si>
  <si>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</si>
  <si>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</si>
  <si>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</si>
  <si>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</si>
  <si>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</si>
  <si>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</si>
  <si>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</si>
  <si>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</si>
  <si>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</si>
  <si>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</si>
  <si>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</si>
  <si>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</si>
  <si>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</si>
  <si>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</si>
  <si>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</si>
  <si>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</si>
  <si>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</si>
  <si>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</si>
  <si>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</si>
  <si>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</si>
  <si>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</si>
  <si>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</si>
  <si>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</si>
  <si>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</si>
  <si>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</si>
  <si>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</si>
  <si>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</si>
  <si>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</si>
  <si>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</si>
  <si>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</si>
  <si>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</si>
  <si>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</si>
  <si>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</si>
  <si>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</si>
  <si>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</si>
  <si>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</si>
  <si>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</si>
  <si>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</si>
  <si>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</si>
  <si>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</si>
  <si>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</si>
  <si>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</si>
  <si>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</si>
  <si>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</si>
  <si>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</si>
  <si>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</si>
  <si>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</si>
  <si>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</si>
  <si>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</si>
  <si>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</si>
  <si>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</si>
  <si>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</si>
  <si>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</si>
  <si>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</si>
  <si>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</si>
  <si>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</si>
  <si>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</si>
  <si>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</si>
  <si>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</si>
  <si>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</si>
  <si>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</si>
  <si>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</si>
  <si>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</si>
  <si>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</si>
  <si>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</si>
  <si>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</si>
  <si>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</si>
  <si>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</si>
  <si>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</si>
  <si>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</si>
  <si>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</si>
  <si>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</si>
  <si>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</si>
  <si>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</si>
  <si>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</si>
  <si>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</si>
  <si>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</si>
  <si>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</si>
  <si>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</si>
  <si>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</si>
  <si>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</si>
  <si>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</si>
  <si>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</si>
  <si>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</si>
  <si>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</si>
  <si>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</si>
  <si>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</si>
  <si>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</si>
  <si>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</si>
  <si>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</si>
  <si>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</si>
  <si>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</si>
  <si>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</si>
  <si>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</si>
  <si>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</si>
  <si>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</si>
  <si>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</si>
  <si>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</si>
  <si>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</si>
  <si>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</si>
  <si>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</si>
  <si>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</si>
  <si>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</si>
  <si>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</si>
  <si>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</si>
  <si>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</si>
  <si>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</si>
  <si>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</si>
  <si>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</si>
  <si>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</si>
  <si>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</si>
  <si>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</si>
  <si>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</si>
  <si>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</si>
  <si>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</si>
  <si>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</si>
  <si>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</si>
  <si>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</si>
  <si>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</si>
  <si>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</si>
  <si>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</si>
  <si>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</si>
  <si>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</si>
  <si>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</si>
  <si>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</si>
  <si>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</si>
  <si>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</si>
  <si>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</si>
  <si>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</si>
  <si>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</si>
  <si>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</si>
  <si>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</si>
  <si>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</si>
  <si>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</si>
  <si>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</si>
  <si>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</si>
  <si>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</si>
  <si>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</si>
  <si>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</si>
  <si>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</si>
  <si>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</si>
  <si>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</si>
  <si>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</si>
  <si>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</si>
  <si>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</si>
  <si>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</si>
  <si>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</si>
  <si>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</si>
  <si>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</si>
  <si>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</si>
  <si>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</si>
  <si>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</si>
  <si>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</si>
  <si>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</si>
  <si>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</si>
  <si>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</si>
  <si>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</si>
  <si>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</si>
  <si>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</si>
  <si>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</si>
  <si>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</si>
  <si>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</si>
  <si>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</si>
  <si>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</si>
  <si>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</si>
  <si>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</si>
  <si>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</si>
  <si>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</si>
  <si>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</si>
  <si>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</si>
  <si>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</si>
  <si>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</si>
  <si>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</si>
  <si>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</si>
  <si>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</si>
  <si>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</si>
  <si>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</si>
  <si>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</si>
  <si>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</si>
  <si>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</si>
  <si>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</si>
  <si>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</si>
  <si>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</si>
  <si>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</si>
  <si>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</si>
  <si>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</si>
  <si>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</si>
  <si>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</si>
  <si>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</si>
  <si>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</si>
  <si>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</si>
  <si>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</si>
  <si>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</si>
  <si>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</si>
  <si>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</si>
  <si>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</si>
  <si>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</si>
  <si>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</si>
  <si>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</si>
  <si>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</si>
  <si>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</si>
  <si>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</si>
  <si>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</si>
  <si>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</si>
  <si>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</si>
  <si>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</si>
  <si>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</si>
  <si>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</si>
  <si>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</si>
  <si>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</si>
  <si>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</si>
  <si>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</si>
  <si>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</si>
  <si>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</si>
  <si>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</si>
  <si>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</si>
  <si>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</si>
  <si>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</si>
  <si>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</si>
  <si>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</si>
  <si>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</si>
  <si>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</si>
  <si>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</si>
  <si>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</si>
  <si>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</si>
  <si>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</si>
  <si>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</si>
  <si>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</si>
  <si>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</si>
  <si>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</si>
  <si>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</si>
  <si>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</si>
  <si>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</si>
  <si>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</si>
  <si>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</si>
  <si>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</si>
  <si>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</si>
  <si>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</si>
  <si>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</si>
  <si>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</si>
  <si>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</si>
  <si>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</si>
  <si>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</si>
  <si>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</si>
  <si>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</si>
  <si>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</si>
  <si>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</si>
  <si>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</si>
  <si>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</si>
  <si>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</si>
  <si>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</si>
  <si>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</si>
  <si>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</si>
  <si>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</si>
  <si>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</si>
  <si>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</si>
  <si>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</si>
  <si>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</si>
  <si>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</si>
  <si>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</si>
  <si>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</si>
  <si>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</si>
  <si>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</si>
  <si>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</si>
  <si>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</si>
  <si>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</si>
  <si>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</si>
  <si>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</si>
  <si>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</si>
  <si>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</si>
  <si>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</si>
  <si>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</si>
  <si>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</si>
  <si>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</si>
  <si>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</si>
  <si>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</si>
  <si>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</si>
  <si>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</si>
  <si>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</si>
  <si>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</si>
  <si>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</si>
  <si>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</si>
  <si>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</si>
  <si>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</si>
  <si>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</si>
  <si>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</si>
  <si>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</si>
  <si>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</si>
  <si>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</si>
  <si>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</si>
  <si>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</si>
  <si>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</si>
  <si>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</si>
  <si>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</si>
  <si>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</si>
  <si>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</si>
  <si>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</si>
  <si>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</si>
  <si>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</si>
  <si>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</si>
  <si>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</si>
  <si>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</si>
  <si>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</si>
  <si>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</si>
  <si>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</si>
  <si>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</si>
  <si>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</si>
  <si>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</si>
  <si>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</si>
  <si>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</si>
  <si>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</si>
  <si>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</si>
  <si>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</si>
  <si>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</si>
  <si>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</si>
  <si>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</si>
  <si>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</si>
  <si>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</si>
  <si>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</si>
  <si>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</si>
  <si>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</si>
  <si>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</si>
  <si>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</si>
  <si>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</si>
  <si>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</si>
  <si>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</si>
  <si>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</si>
  <si>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</si>
  <si>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</si>
  <si>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</si>
  <si>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</si>
  <si>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</si>
  <si>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</si>
  <si>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</si>
  <si>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</si>
  <si>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</si>
  <si>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</si>
  <si>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</si>
  <si>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</si>
  <si>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</si>
  <si>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</si>
  <si>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</si>
  <si>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</si>
  <si>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</si>
  <si>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</si>
  <si>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</si>
  <si>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</si>
  <si>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</si>
  <si>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</si>
  <si>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</si>
  <si>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</si>
  <si>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</si>
  <si>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</si>
  <si>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</si>
  <si>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</si>
  <si>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</si>
  <si>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</si>
  <si>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</si>
  <si>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</si>
  <si>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</si>
  <si>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</si>
  <si>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</si>
  <si>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</si>
  <si>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</si>
  <si>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</si>
  <si>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</si>
  <si>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</si>
  <si>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</si>
  <si>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</si>
  <si>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</si>
  <si>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</si>
  <si>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</si>
  <si>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</si>
  <si>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</si>
  <si>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</si>
  <si>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</si>
  <si>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</si>
  <si>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</si>
  <si>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</si>
  <si>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</si>
  <si>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</si>
  <si>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</si>
  <si>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</si>
  <si>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</si>
  <si>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</si>
  <si>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</si>
  <si>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</si>
  <si>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</si>
  <si>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</si>
  <si>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</si>
  <si>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</si>
  <si>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</si>
  <si>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</si>
  <si>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</si>
  <si>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</si>
  <si>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</si>
  <si>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</si>
  <si>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</si>
  <si>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</si>
  <si>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</si>
  <si>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</si>
  <si>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</si>
  <si>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</si>
  <si>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</si>
  <si>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</si>
  <si>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</si>
  <si>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</si>
  <si>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</si>
  <si>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</si>
  <si>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</si>
  <si>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</si>
  <si>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</si>
  <si>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</si>
  <si>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</si>
  <si>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</si>
  <si>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</si>
  <si>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</si>
  <si>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</si>
  <si>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</si>
  <si>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</si>
  <si>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</si>
  <si>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</si>
  <si>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</si>
  <si>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</si>
  <si>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</si>
  <si>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</si>
  <si>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</si>
  <si>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</si>
  <si>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</si>
  <si>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</si>
  <si>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</si>
  <si>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</si>
  <si>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</si>
  <si>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</si>
  <si>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</si>
  <si>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</si>
  <si>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</si>
  <si>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</si>
  <si>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</si>
  <si>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</si>
  <si>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</si>
  <si>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</si>
  <si>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</si>
  <si>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</si>
  <si>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</si>
  <si>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</si>
  <si>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</si>
  <si>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</si>
  <si>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</si>
  <si>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</si>
  <si>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</si>
  <si>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</si>
  <si>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</si>
  <si>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</si>
  <si>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</si>
  <si>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</si>
  <si>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</si>
  <si>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</si>
  <si>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</si>
  <si>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</si>
  <si>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</si>
  <si>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</si>
  <si>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</si>
  <si>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</si>
  <si>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</si>
  <si>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</si>
  <si>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</si>
  <si>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</si>
  <si>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</si>
  <si>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</si>
  <si>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</si>
  <si>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</si>
  <si>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</si>
  <si>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</si>
  <si>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</si>
  <si>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</si>
  <si>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</si>
  <si>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</si>
  <si>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</si>
  <si>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</si>
  <si>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</si>
  <si>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</si>
  <si>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</si>
  <si>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</si>
  <si>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</si>
  <si>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</si>
  <si>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</si>
  <si>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</si>
  <si>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</si>
  <si>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</si>
  <si>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</si>
  <si>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</si>
  <si>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</si>
  <si>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</si>
  <si>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</si>
  <si>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</si>
  <si>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</si>
  <si>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</si>
  <si>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</si>
  <si>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</si>
  <si>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</si>
  <si>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</si>
  <si>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</si>
  <si>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</si>
  <si>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</si>
  <si>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</si>
  <si>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</si>
  <si>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</si>
  <si>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</si>
  <si>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</si>
  <si>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</si>
  <si>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</si>
  <si>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</si>
  <si>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</si>
  <si>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</si>
  <si>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</si>
  <si>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</si>
  <si>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</si>
  <si>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</si>
  <si>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</si>
  <si>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</si>
  <si>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</si>
  <si>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</si>
  <si>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</si>
  <si>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</si>
  <si>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</si>
  <si>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</si>
  <si>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</si>
  <si>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</si>
  <si>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</si>
  <si>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</si>
  <si>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</si>
  <si>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</si>
  <si>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</si>
  <si>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</si>
  <si>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</si>
  <si>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</si>
  <si>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</si>
  <si>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</si>
  <si>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</si>
  <si>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</si>
  <si>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</si>
  <si>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</si>
  <si>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</si>
  <si>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</si>
  <si>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</si>
  <si>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</si>
  <si>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</si>
  <si>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</si>
  <si>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</si>
  <si>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</si>
  <si>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</si>
  <si>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</si>
  <si>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</si>
  <si>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</si>
  <si>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</si>
  <si>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</si>
  <si>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</si>
  <si>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</si>
  <si>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</si>
  <si>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</si>
  <si>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</si>
  <si>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</si>
  <si>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</si>
  <si>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</si>
  <si>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</si>
  <si>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</si>
  <si>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</si>
  <si>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</si>
  <si>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</si>
  <si>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</si>
  <si>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</si>
  <si>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</si>
  <si>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</si>
  <si>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</si>
  <si>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</si>
  <si>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</si>
  <si>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</si>
  <si>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</si>
  <si>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</si>
  <si>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</si>
  <si>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</si>
  <si>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</si>
  <si>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</si>
  <si>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</si>
  <si>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</si>
  <si>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</si>
  <si>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</si>
  <si>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</si>
  <si>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</si>
  <si>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</si>
  <si>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</si>
  <si>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</si>
  <si>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</si>
  <si>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</si>
  <si>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</si>
  <si>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</si>
  <si>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</si>
  <si>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</si>
  <si>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</si>
  <si>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</si>
  <si>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</si>
  <si>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</si>
  <si>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</si>
  <si>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</si>
  <si>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</si>
  <si>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</si>
  <si>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</si>
  <si>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</si>
  <si>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</si>
  <si>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</si>
  <si>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</si>
  <si>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</si>
  <si>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</si>
  <si>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</si>
  <si>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</si>
  <si>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</si>
  <si>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</si>
  <si>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</si>
  <si>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</si>
  <si>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</si>
  <si>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</si>
  <si>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</si>
  <si>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</si>
  <si>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</si>
  <si>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</si>
  <si>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</si>
  <si>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</si>
  <si>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</si>
  <si>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</si>
  <si>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</si>
  <si>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</si>
  <si>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</si>
  <si>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</si>
  <si>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</si>
  <si>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</si>
  <si>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</si>
  <si>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</si>
  <si>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</si>
  <si>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</si>
  <si>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</si>
  <si>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</si>
  <si>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</si>
  <si>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</si>
  <si>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</si>
  <si>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</si>
  <si>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</si>
  <si>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</si>
  <si>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</si>
  <si>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</si>
  <si>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</si>
  <si>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</si>
  <si>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</si>
  <si>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</si>
  <si>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</si>
  <si>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</si>
  <si>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</si>
  <si>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</si>
  <si>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</si>
  <si>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</si>
  <si>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</si>
  <si>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</si>
  <si>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</si>
  <si>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</si>
  <si>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</si>
  <si>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</si>
  <si>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</si>
  <si>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</si>
  <si>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</si>
  <si>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</si>
  <si>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</si>
  <si>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</si>
  <si>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</si>
  <si>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</si>
  <si>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</si>
  <si>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</si>
  <si>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</si>
  <si>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</si>
  <si>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</si>
  <si>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</si>
  <si>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</si>
  <si>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</si>
  <si>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</si>
  <si>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</si>
  <si>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</si>
  <si>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</si>
  <si>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</si>
  <si>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</si>
  <si>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</si>
  <si>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</si>
  <si>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</si>
  <si>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</si>
  <si>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</si>
  <si>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</si>
  <si>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</si>
  <si>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</si>
  <si>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</si>
  <si>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</si>
  <si>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</si>
  <si>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</si>
  <si>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</si>
  <si>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</si>
  <si>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</si>
  <si>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</si>
  <si>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</si>
  <si>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</si>
  <si>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</si>
  <si>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</si>
  <si>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</si>
  <si>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</si>
  <si>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</si>
  <si>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</si>
  <si>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</si>
  <si>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</si>
  <si>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</si>
  <si>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</si>
  <si>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</si>
  <si>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</si>
  <si>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</si>
  <si>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</si>
  <si>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</si>
  <si>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</si>
  <si>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</si>
  <si>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</si>
  <si>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</si>
  <si>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</si>
  <si>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</si>
  <si>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</si>
  <si>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</si>
  <si>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</si>
  <si>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</si>
  <si>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</si>
  <si>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</si>
  <si>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</si>
  <si>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</si>
  <si>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</si>
  <si>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</si>
  <si>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</si>
  <si>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</si>
  <si>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</si>
  <si>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</si>
  <si>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</si>
  <si>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</si>
  <si>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</si>
  <si>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</si>
  <si>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</si>
  <si>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</si>
  <si>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</si>
  <si>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</si>
  <si>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</si>
  <si>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</si>
  <si>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</si>
  <si>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</si>
  <si>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</si>
  <si>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</si>
  <si>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</si>
  <si>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</si>
  <si>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</si>
  <si>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</si>
  <si>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</si>
  <si>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</si>
  <si>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</si>
  <si>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</si>
  <si>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</si>
  <si>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</si>
  <si>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</si>
  <si>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</si>
  <si>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</si>
  <si>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</si>
  <si>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</si>
  <si>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</si>
  <si>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</si>
  <si>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</si>
  <si>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</si>
  <si>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</si>
  <si>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</si>
  <si>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</si>
  <si>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</si>
  <si>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</si>
  <si>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</si>
  <si>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</si>
  <si>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</si>
  <si>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</si>
  <si>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</si>
  <si>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</si>
  <si>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</si>
  <si>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</si>
  <si>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</si>
  <si>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</si>
  <si>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</si>
  <si>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</si>
  <si>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</si>
  <si>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</si>
  <si>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</si>
  <si>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</si>
  <si>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</si>
  <si>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</si>
  <si>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</si>
  <si>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</si>
  <si>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</si>
  <si>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</si>
  <si>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</si>
  <si>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</si>
  <si>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</si>
  <si>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</si>
  <si>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</si>
  <si>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</si>
  <si>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</si>
  <si>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</si>
  <si>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</si>
  <si>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</si>
  <si>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</si>
  <si>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</si>
  <si>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</si>
  <si>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</si>
  <si>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</si>
  <si>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</si>
  <si>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</si>
  <si>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</si>
  <si>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</si>
  <si>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</si>
  <si>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</si>
  <si>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</si>
  <si>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</si>
  <si>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</si>
  <si>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</si>
  <si>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</si>
  <si>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</si>
  <si>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</si>
  <si>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</si>
  <si>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</si>
  <si>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</si>
  <si>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</si>
  <si>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</si>
  <si>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</si>
  <si>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</si>
  <si>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</si>
  <si>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</si>
  <si>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</si>
  <si>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</si>
  <si>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</si>
  <si>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</si>
  <si>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</si>
  <si>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</si>
  <si>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</si>
  <si>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</si>
  <si>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</si>
  <si>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</si>
  <si>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</si>
  <si>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</si>
  <si>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</si>
  <si>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</si>
  <si>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</si>
  <si>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</si>
  <si>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</si>
  <si>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</si>
  <si>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</si>
  <si>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</si>
  <si>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</si>
  <si>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</si>
  <si>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</si>
  <si>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</si>
  <si>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</si>
  <si>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</si>
  <si>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</si>
  <si>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</si>
  <si>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</si>
  <si>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</si>
  <si>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</si>
  <si>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</si>
  <si>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</si>
  <si>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</si>
  <si>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</si>
  <si>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</si>
  <si>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</si>
  <si>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</si>
  <si>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</si>
  <si>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</si>
  <si>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</si>
  <si>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</si>
  <si>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</si>
  <si>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</si>
  <si>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</si>
  <si>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</si>
  <si>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</si>
  <si>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</si>
  <si>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</si>
  <si>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</si>
  <si>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</si>
  <si>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</si>
  <si>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</si>
  <si>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</si>
  <si>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</si>
  <si>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</si>
  <si>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</si>
  <si>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</si>
  <si>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</si>
  <si>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</si>
  <si>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</si>
  <si>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</si>
  <si>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</si>
  <si>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</si>
  <si>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</si>
  <si>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</si>
  <si>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</si>
  <si>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</si>
  <si>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</si>
  <si>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</si>
  <si>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</si>
  <si>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</si>
  <si>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</si>
  <si>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</si>
  <si>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</si>
  <si>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</si>
  <si>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</si>
  <si>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</si>
  <si>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</si>
  <si>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</si>
  <si>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</si>
  <si>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</si>
  <si>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</si>
  <si>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</si>
  <si>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</si>
  <si>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</si>
  <si>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</si>
  <si>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</si>
  <si>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</si>
  <si>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</si>
  <si>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</si>
  <si>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</si>
  <si>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</si>
  <si>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</si>
  <si>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</si>
  <si>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</si>
  <si>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</si>
  <si>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</si>
  <si>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</si>
  <si>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</si>
  <si>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</si>
  <si>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</si>
  <si>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</si>
  <si>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</si>
  <si>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</si>
  <si>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</si>
  <si>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</si>
  <si>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</si>
  <si>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</si>
  <si>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</si>
  <si>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</si>
  <si>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</si>
  <si>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</si>
  <si>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</si>
  <si>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</si>
  <si>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</si>
  <si>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</si>
  <si>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</si>
  <si>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</si>
  <si>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</si>
  <si>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</si>
  <si>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</si>
  <si>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</si>
  <si>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</si>
  <si>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</si>
  <si>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</si>
  <si>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</si>
  <si>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</si>
  <si>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</si>
  <si>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</si>
  <si>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</si>
  <si>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</si>
  <si>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</si>
  <si>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</si>
  <si>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</si>
  <si>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</si>
  <si>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</si>
  <si>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</si>
  <si>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</si>
  <si>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</si>
  <si>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</si>
  <si>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</si>
  <si>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</si>
  <si>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</si>
  <si>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</si>
  <si>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</si>
  <si>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</si>
  <si>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</si>
  <si>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</si>
  <si>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</si>
  <si>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</si>
  <si>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</si>
  <si>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</si>
  <si>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</si>
  <si>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</si>
  <si>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</si>
  <si>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</si>
  <si>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</si>
  <si>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</si>
  <si>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</si>
  <si>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</si>
  <si>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</si>
  <si>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</si>
  <si>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</si>
  <si>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</si>
  <si>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</si>
  <si>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</si>
  <si>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</si>
  <si>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</si>
  <si>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</si>
  <si>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</si>
  <si>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</si>
  <si>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</si>
  <si>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</si>
  <si>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</si>
  <si>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</si>
  <si>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</si>
  <si>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</si>
  <si>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</si>
  <si>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</si>
  <si>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</si>
  <si>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</si>
  <si>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</si>
  <si>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</si>
  <si>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</si>
  <si>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</si>
  <si>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</si>
  <si>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</si>
  <si>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</si>
  <si>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</si>
  <si>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</si>
  <si>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</si>
  <si>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</si>
  <si>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</si>
  <si>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</si>
  <si>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</si>
  <si>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</si>
  <si>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</si>
  <si>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</si>
  <si>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</si>
  <si>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</si>
  <si>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</si>
  <si>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</si>
  <si>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</si>
  <si>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</si>
  <si>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</si>
  <si>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</si>
  <si>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</si>
  <si>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</si>
  <si>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</si>
  <si>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</si>
  <si>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</si>
  <si>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</si>
  <si>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</si>
  <si>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</si>
  <si>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</si>
  <si>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</si>
  <si>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</si>
  <si>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</si>
  <si>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</si>
  <si>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</si>
  <si>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</si>
  <si>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</si>
  <si>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</si>
  <si>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</si>
  <si>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</si>
  <si>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</si>
  <si>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</si>
  <si>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</si>
  <si>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</si>
  <si>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</si>
  <si>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</si>
  <si>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</si>
  <si>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</si>
  <si>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</si>
  <si>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</si>
  <si>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</si>
  <si>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</si>
  <si>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</si>
  <si>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</si>
  <si>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</si>
  <si>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</si>
  <si>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</si>
  <si>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</si>
  <si>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</si>
  <si>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</si>
  <si>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</si>
  <si>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</si>
  <si>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</si>
  <si>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</si>
  <si>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</si>
  <si>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</si>
  <si>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</si>
  <si>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</si>
  <si>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</si>
  <si>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</si>
  <si>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</si>
  <si>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</si>
  <si>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</si>
  <si>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</si>
  <si>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</si>
  <si>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</si>
  <si>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</si>
  <si>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</si>
  <si>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</si>
  <si>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</si>
  <si>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</si>
  <si>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</si>
  <si>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</si>
  <si>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</si>
  <si>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</si>
  <si>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</si>
  <si>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</si>
  <si>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</si>
  <si>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</si>
  <si>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</si>
  <si>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</si>
  <si>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</si>
  <si>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</si>
  <si>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</si>
  <si>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</si>
  <si>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</si>
  <si>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</si>
  <si>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</si>
  <si>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</si>
  <si>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</si>
  <si>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</si>
  <si>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</si>
  <si>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</si>
  <si>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</si>
  <si>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</si>
  <si>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</si>
  <si>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</si>
  <si>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</si>
  <si>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</si>
  <si>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</si>
  <si>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</si>
  <si>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</si>
  <si>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</si>
  <si>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</si>
  <si>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</si>
  <si>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</si>
  <si>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</si>
  <si>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</si>
  <si>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</si>
  <si>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</si>
  <si>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</si>
  <si>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</si>
  <si>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</si>
  <si>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</si>
  <si>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</si>
  <si>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</si>
  <si>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</si>
  <si>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</si>
  <si>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</si>
  <si>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</si>
  <si>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</si>
  <si>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</si>
  <si>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</si>
  <si>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</si>
  <si>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</si>
  <si>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</si>
  <si>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</si>
  <si>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</si>
  <si>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</si>
  <si>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</si>
  <si>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</si>
  <si>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</si>
  <si>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</si>
  <si>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</si>
  <si>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</si>
  <si>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</si>
  <si>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</si>
  <si>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</si>
  <si>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</si>
  <si>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</si>
  <si>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</si>
  <si>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</si>
  <si>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</si>
  <si>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</si>
  <si>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</si>
  <si>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</si>
  <si>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</si>
  <si>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</si>
  <si>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</si>
  <si>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</si>
  <si>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</si>
  <si>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</si>
  <si>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</si>
  <si>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</si>
  <si>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</si>
  <si>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</si>
  <si>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</si>
  <si>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</si>
  <si>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</si>
  <si>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</si>
  <si>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</si>
  <si>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</si>
  <si>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</si>
  <si>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</si>
  <si>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</si>
  <si>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</si>
  <si>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</si>
  <si>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</si>
  <si>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</si>
  <si>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</si>
  <si>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</si>
  <si>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</si>
  <si>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</si>
  <si>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</si>
  <si>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</si>
  <si>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</si>
  <si>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</si>
  <si>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</si>
  <si>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</si>
  <si>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</si>
  <si>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</si>
  <si>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</si>
  <si>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</si>
  <si>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</si>
  <si>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</si>
  <si>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</si>
  <si>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</si>
  <si>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</si>
  <si>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</si>
  <si>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</si>
  <si>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</si>
  <si>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</si>
  <si>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</si>
  <si>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</si>
  <si>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</si>
  <si>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</si>
  <si>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</si>
  <si>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</si>
  <si>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</si>
  <si>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</si>
  <si>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</si>
  <si>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</si>
  <si>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</si>
  <si>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</si>
  <si>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</si>
  <si>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</si>
  <si>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</si>
  <si>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</si>
  <si>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</si>
  <si>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</si>
  <si>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</si>
  <si>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</si>
  <si>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</si>
  <si>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</si>
  <si>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</si>
  <si>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</si>
  <si>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</si>
  <si>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</si>
  <si>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</si>
  <si>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</si>
  <si>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</si>
  <si>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</si>
  <si>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</si>
  <si>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</si>
  <si>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</si>
  <si>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</si>
  <si>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</si>
  <si>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</si>
  <si>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</si>
  <si>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</si>
  <si>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</si>
  <si>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</si>
  <si>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</si>
  <si>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</si>
  <si>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</si>
  <si>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</si>
  <si>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</si>
  <si>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</si>
  <si>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</si>
  <si>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</si>
  <si>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</si>
  <si>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</si>
  <si>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</si>
  <si>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</si>
  <si>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</si>
  <si>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</si>
  <si>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</si>
  <si>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</si>
  <si>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</si>
  <si>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</si>
  <si>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</si>
  <si>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</si>
  <si>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</si>
  <si>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</si>
  <si>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</si>
  <si>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</si>
  <si>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</si>
  <si>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</si>
  <si>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</si>
  <si>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</si>
  <si>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</si>
  <si>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</si>
  <si>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</si>
  <si>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</si>
  <si>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</si>
  <si>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</si>
  <si>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</si>
  <si>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</si>
  <si>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</si>
  <si>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</si>
  <si>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</si>
  <si>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</si>
  <si>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</si>
  <si>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</si>
  <si>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</si>
  <si>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</si>
  <si>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</si>
  <si>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</si>
  <si>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</si>
  <si>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</si>
  <si>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</si>
  <si>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</si>
  <si>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</si>
  <si>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</si>
  <si>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</si>
  <si>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</si>
  <si>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</si>
  <si>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</si>
  <si>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</si>
  <si>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</si>
  <si>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</si>
  <si>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</si>
  <si>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</si>
  <si>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</si>
  <si>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</si>
  <si>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</si>
  <si>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</si>
  <si>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</si>
  <si>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</si>
  <si>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</si>
  <si>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</si>
  <si>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</si>
  <si>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</si>
  <si>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</si>
  <si>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</si>
  <si>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</si>
  <si>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</si>
  <si>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</si>
  <si>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</si>
  <si>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</si>
  <si>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</si>
  <si>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</si>
  <si>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</si>
  <si>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</si>
  <si>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</si>
  <si>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</si>
  <si>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</si>
  <si>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</si>
  <si>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</si>
  <si>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</si>
  <si>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</si>
  <si>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</si>
  <si>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</si>
  <si>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</si>
  <si>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</si>
  <si>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</si>
  <si>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</si>
  <si>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</si>
  <si>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</si>
  <si>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</si>
  <si>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</si>
  <si>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</si>
  <si>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</si>
  <si>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</si>
  <si>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</si>
  <si>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</si>
  <si>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</si>
  <si>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</si>
  <si>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</si>
  <si>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</si>
  <si>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</si>
  <si>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</si>
  <si>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</si>
  <si>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</si>
  <si>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</si>
  <si>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</si>
  <si>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</si>
  <si>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</si>
  <si>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</si>
  <si>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</si>
  <si>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</si>
  <si>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</si>
  <si>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</si>
  <si>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</si>
  <si>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</si>
  <si>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</si>
  <si>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</si>
  <si>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</si>
  <si>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</si>
  <si>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</si>
  <si>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</si>
  <si>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</si>
  <si>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</si>
  <si>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</si>
  <si>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</si>
  <si>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</si>
  <si>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</si>
  <si>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</si>
  <si>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</si>
  <si>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</si>
  <si>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</si>
  <si>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</si>
  <si>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</si>
  <si>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</si>
  <si>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</si>
  <si>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</si>
  <si>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</si>
  <si>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</si>
  <si>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</si>
  <si>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</si>
  <si>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</si>
  <si>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</si>
  <si>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</si>
  <si>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</si>
  <si>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</si>
  <si>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</si>
  <si>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</si>
  <si>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</si>
  <si>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</si>
  <si>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</si>
  <si>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</si>
  <si>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</si>
  <si>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</si>
  <si>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</si>
  <si>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</si>
  <si>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</si>
  <si>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</si>
  <si>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</si>
  <si>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</si>
  <si>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</si>
  <si>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</si>
  <si>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</si>
  <si>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</si>
  <si>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</si>
  <si>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</si>
  <si>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</si>
  <si>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</si>
  <si>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</si>
  <si>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</si>
  <si>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</si>
  <si>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</si>
  <si>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</si>
  <si>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</si>
  <si>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</si>
  <si>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</si>
  <si>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</si>
  <si>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</si>
  <si>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</si>
  <si>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</si>
  <si>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</si>
  <si>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</si>
  <si>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</si>
  <si>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</si>
  <si>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</si>
  <si>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</si>
  <si>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</si>
  <si>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</si>
  <si>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</si>
  <si>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</si>
  <si>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</si>
  <si>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</si>
  <si>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</si>
  <si>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</si>
  <si>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</si>
  <si>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</si>
  <si>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</si>
  <si>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</si>
  <si>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</si>
  <si>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</si>
  <si>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</si>
  <si>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</si>
  <si>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</si>
  <si>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</si>
  <si>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</si>
  <si>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</si>
  <si>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</si>
  <si>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</si>
  <si>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</si>
  <si>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</si>
  <si>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</si>
  <si>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</si>
  <si>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</si>
  <si>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</si>
  <si>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</si>
  <si>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</si>
  <si>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</si>
  <si>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</si>
  <si>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</si>
  <si>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</si>
  <si>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</si>
  <si>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</si>
  <si>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</si>
  <si>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</si>
  <si>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</si>
  <si>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</si>
  <si>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</si>
  <si>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</si>
  <si>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</si>
  <si>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</si>
  <si>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</si>
  <si>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</si>
  <si>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</si>
  <si>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</si>
  <si>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</si>
  <si>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</si>
  <si>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</si>
  <si>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</si>
  <si>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</si>
  <si>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</si>
  <si>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</si>
  <si>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</si>
  <si>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</si>
  <si>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</si>
  <si>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</si>
  <si>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</si>
  <si>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</si>
  <si>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</si>
  <si>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</si>
  <si>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</si>
  <si>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</si>
  <si>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</si>
  <si>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</si>
  <si>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</si>
  <si>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</si>
  <si>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</si>
  <si>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</si>
  <si>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</si>
  <si>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</si>
  <si>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</si>
  <si>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</si>
  <si>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</si>
  <si>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</si>
  <si>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</si>
  <si>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</si>
  <si>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</si>
  <si>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</si>
  <si>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</si>
  <si>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</si>
  <si>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</si>
  <si>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</si>
  <si>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</si>
  <si>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</si>
  <si>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</si>
  <si>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</si>
  <si>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</si>
  <si>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</si>
  <si>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</si>
  <si>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</si>
  <si>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</si>
  <si>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</si>
  <si>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</si>
  <si>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</si>
  <si>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</si>
  <si>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</si>
  <si>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</si>
  <si>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</si>
  <si>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</si>
  <si>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</si>
  <si>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</si>
  <si>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</si>
  <si>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</si>
  <si>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</si>
  <si>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</si>
  <si>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</si>
  <si>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</si>
  <si>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</si>
  <si>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</si>
  <si>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</si>
  <si>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</si>
  <si>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</si>
  <si>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</si>
  <si>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</si>
  <si>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</si>
  <si>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</si>
  <si>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</si>
  <si>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</si>
  <si>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</si>
  <si>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</si>
  <si>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</si>
  <si>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</si>
  <si>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</si>
  <si>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</si>
  <si>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</si>
  <si>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</si>
  <si>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</si>
  <si>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</si>
  <si>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</si>
  <si>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</si>
  <si>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</si>
  <si>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</si>
  <si>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</si>
  <si>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</si>
  <si>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</si>
  <si>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</si>
  <si>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</si>
  <si>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</si>
  <si>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</si>
  <si>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</si>
  <si>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</si>
  <si>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</si>
  <si>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</si>
  <si>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</si>
  <si>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</si>
  <si>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</si>
  <si>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</si>
  <si>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</si>
  <si>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</si>
  <si>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</si>
  <si>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</si>
  <si>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</si>
  <si>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</si>
  <si>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</si>
  <si>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</si>
  <si>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</si>
  <si>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</si>
  <si>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</si>
  <si>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</si>
  <si>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</si>
  <si>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</si>
  <si>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</si>
  <si>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</si>
  <si>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</si>
  <si>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</si>
  <si>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</si>
  <si>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</si>
  <si>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</si>
  <si>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</si>
  <si>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</si>
  <si>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</si>
  <si>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</si>
  <si>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</si>
  <si>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</si>
  <si>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</si>
  <si>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</si>
  <si>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</si>
  <si>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</si>
  <si>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</si>
  <si>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</si>
  <si>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</si>
  <si>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</si>
  <si>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</si>
  <si>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</si>
  <si>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</si>
  <si>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</si>
  <si>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</si>
  <si>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</si>
  <si>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</si>
  <si>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</si>
  <si>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</si>
  <si>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</si>
  <si>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</si>
  <si>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</si>
  <si>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</si>
  <si>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</si>
  <si>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</si>
  <si>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</si>
  <si>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</si>
  <si>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</si>
  <si>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</si>
  <si>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</si>
  <si>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</si>
  <si>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</si>
  <si>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</si>
  <si>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</si>
  <si>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</si>
  <si>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</si>
  <si>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</si>
  <si>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</si>
  <si>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</si>
  <si>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</si>
  <si>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</si>
  <si>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</si>
  <si>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</si>
  <si>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</si>
  <si>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</si>
  <si>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</si>
  <si>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</si>
  <si>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</si>
  <si>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</si>
  <si>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</si>
  <si>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</si>
  <si>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</si>
  <si>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</si>
  <si>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</si>
  <si>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</si>
  <si>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</si>
  <si>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</si>
  <si>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</si>
  <si>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</si>
  <si>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</si>
  <si>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</si>
  <si>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</si>
  <si>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</si>
  <si>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</si>
  <si>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</si>
  <si>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</si>
  <si>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</si>
  <si>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</si>
  <si>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</si>
  <si>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</si>
  <si>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</si>
  <si>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</si>
  <si>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</si>
  <si>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</si>
  <si>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</si>
  <si>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</si>
  <si>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</si>
  <si>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</si>
  <si>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</si>
  <si>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</si>
  <si>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</si>
  <si>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</si>
  <si>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</si>
  <si>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</si>
  <si>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</si>
  <si>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</si>
  <si>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</si>
  <si>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</si>
  <si>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</si>
  <si>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</si>
  <si>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</si>
  <si>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</si>
  <si>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</si>
  <si>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</si>
  <si>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</si>
  <si>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</si>
  <si>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</si>
  <si>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</si>
  <si>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</si>
  <si>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</si>
  <si>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</si>
  <si>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</si>
  <si>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</si>
  <si>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</si>
  <si>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</si>
  <si>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</si>
  <si>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</si>
  <si>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</si>
  <si>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</si>
  <si>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</si>
  <si>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</si>
  <si>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</si>
  <si>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</si>
  <si>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</si>
  <si>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</si>
  <si>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</si>
  <si>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</si>
  <si>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</si>
  <si>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</si>
  <si>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</si>
  <si>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</si>
  <si>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</si>
  <si>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</si>
  <si>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</si>
  <si>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</si>
  <si>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</si>
  <si>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</si>
  <si>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</si>
  <si>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</si>
  <si>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</si>
  <si>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</si>
  <si>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</si>
  <si>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</si>
  <si>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</si>
  <si>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</si>
  <si>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</si>
  <si>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</si>
  <si>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</si>
  <si>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</si>
  <si>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</si>
  <si>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</si>
  <si>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</si>
  <si>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</si>
  <si>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</si>
  <si>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</si>
  <si>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</si>
  <si>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</si>
  <si>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</si>
  <si>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</si>
  <si>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</si>
  <si>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</si>
  <si>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</si>
  <si>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</si>
  <si>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</si>
  <si>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</si>
  <si>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</si>
  <si>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</si>
  <si>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</si>
  <si>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</si>
  <si>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</si>
  <si>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</si>
  <si>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</si>
  <si>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</si>
  <si>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</si>
  <si>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</si>
  <si>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</si>
  <si>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</si>
  <si>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</si>
  <si>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</si>
  <si>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</si>
  <si>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</si>
  <si>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</si>
  <si>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</si>
  <si>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</si>
  <si>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</si>
  <si>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</si>
  <si>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</si>
  <si>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</si>
  <si>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</si>
  <si>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</si>
  <si>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</si>
  <si>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</si>
  <si>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</si>
  <si>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</si>
  <si>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</si>
  <si>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</si>
  <si>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</si>
  <si>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</si>
  <si>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</si>
  <si>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</si>
  <si>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</si>
  <si>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</si>
  <si>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</si>
  <si>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</si>
  <si>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</si>
  <si>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</si>
  <si>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</si>
  <si>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</si>
  <si>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</si>
  <si>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</si>
  <si>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</si>
  <si>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</si>
  <si>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</si>
  <si>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</si>
  <si>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</si>
  <si>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</si>
  <si>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</si>
  <si>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</si>
  <si>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</si>
  <si>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</si>
  <si>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</si>
  <si>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</si>
  <si>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</si>
  <si>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</si>
  <si>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</si>
  <si>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</si>
  <si>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</si>
  <si>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</si>
  <si>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</si>
  <si>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</si>
  <si>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</si>
  <si>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</si>
  <si>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</si>
  <si>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</si>
  <si>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</si>
  <si>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</si>
  <si>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</si>
  <si>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</si>
  <si>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</si>
  <si>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</si>
  <si>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</si>
  <si>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</si>
  <si>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</si>
  <si>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</si>
  <si>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</si>
  <si>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</si>
  <si>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</si>
  <si>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</si>
  <si>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</si>
  <si>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</si>
  <si>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</si>
  <si>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</si>
  <si>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</si>
  <si>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</si>
  <si>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</si>
  <si>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</si>
  <si>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</si>
  <si>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</si>
  <si>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</si>
  <si>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</si>
  <si>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</si>
  <si>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</si>
  <si>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</si>
  <si>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</si>
  <si>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</si>
  <si>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</si>
  <si>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</si>
  <si>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</si>
  <si>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</si>
  <si>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</si>
  <si>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</si>
  <si>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</si>
  <si>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</si>
  <si>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</si>
  <si>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</si>
  <si>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</si>
  <si>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</si>
  <si>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</si>
  <si>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</si>
  <si>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</si>
  <si>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</si>
  <si>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</si>
  <si>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</si>
  <si>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</si>
  <si>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</si>
  <si>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</si>
  <si>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</si>
  <si>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</si>
  <si>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</si>
  <si>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</si>
  <si>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</si>
  <si>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</si>
  <si>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</si>
  <si>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</si>
  <si>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</si>
  <si>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</si>
  <si>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</si>
  <si>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</si>
  <si>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</si>
  <si>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</si>
  <si>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</si>
  <si>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</si>
  <si>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</si>
  <si>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</si>
  <si>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</si>
  <si>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</si>
  <si>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</si>
  <si>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</si>
  <si>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</si>
  <si>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</si>
  <si>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</si>
  <si>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</si>
  <si>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</si>
  <si>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</si>
  <si>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</si>
  <si>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</si>
  <si>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</si>
  <si>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</si>
  <si>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</si>
  <si>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</si>
  <si>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</si>
  <si>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</si>
  <si>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</si>
  <si>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</si>
  <si>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</si>
  <si>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</si>
  <si>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</si>
  <si>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</si>
  <si>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</si>
  <si>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</si>
  <si>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</si>
  <si>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</si>
  <si>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</si>
  <si>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</si>
  <si>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</si>
  <si>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</si>
  <si>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</si>
  <si>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</si>
  <si>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</si>
  <si>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</si>
  <si>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</si>
  <si>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</si>
  <si>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</si>
  <si>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</si>
  <si>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</si>
  <si>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</si>
  <si>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</si>
  <si>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</si>
  <si>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</si>
  <si>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</si>
  <si>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</si>
  <si>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</si>
  <si>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</si>
  <si>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</si>
  <si>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</si>
  <si>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</si>
  <si>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</si>
  <si>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</si>
  <si>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</si>
  <si>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</si>
  <si>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</si>
  <si>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</si>
  <si>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</si>
  <si>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</si>
  <si>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</si>
  <si>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</si>
  <si>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</si>
  <si>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</si>
  <si>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</si>
  <si>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</si>
  <si>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</si>
  <si>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</si>
  <si>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</si>
  <si>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</si>
  <si>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</si>
  <si>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</si>
  <si>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</si>
  <si>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</si>
  <si>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</si>
  <si>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</si>
  <si>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</si>
  <si>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</si>
  <si>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</si>
  <si>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</si>
  <si>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</si>
  <si>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</si>
  <si>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</si>
  <si>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</si>
  <si>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</si>
  <si>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</si>
  <si>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</si>
  <si>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</si>
  <si>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</si>
  <si>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</si>
  <si>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</si>
  <si>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</si>
  <si>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</si>
  <si>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</si>
  <si>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</si>
  <si>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</si>
  <si>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</si>
  <si>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</si>
  <si>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</si>
  <si>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</si>
  <si>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</si>
  <si>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</si>
  <si>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</si>
  <si>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</si>
  <si>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</si>
  <si>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</si>
  <si>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</si>
  <si>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</si>
  <si>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</si>
  <si>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</si>
  <si>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</si>
  <si>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</si>
  <si>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</si>
  <si>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</si>
  <si>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</si>
  <si>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</si>
  <si>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</si>
  <si>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</si>
  <si>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</si>
  <si>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</si>
  <si>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</si>
  <si>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</si>
  <si>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</si>
  <si>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</si>
  <si>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</si>
  <si>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</si>
  <si>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</si>
  <si>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</si>
  <si>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</si>
  <si>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</si>
  <si>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</si>
  <si>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</si>
  <si>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</si>
  <si>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</si>
  <si>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</si>
  <si>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</si>
  <si>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</si>
  <si>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</si>
  <si>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</si>
  <si>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</si>
  <si>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</si>
  <si>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</si>
  <si>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</si>
  <si>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</si>
  <si>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</si>
  <si>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</si>
  <si>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</si>
  <si>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</si>
  <si>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</si>
  <si>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</si>
  <si>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</si>
  <si>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</si>
  <si>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</si>
  <si>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</si>
  <si>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</si>
  <si>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</si>
  <si>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</si>
  <si>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</si>
  <si>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</si>
  <si>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</si>
  <si>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</si>
  <si>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</si>
  <si>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</si>
  <si>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</si>
  <si>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</si>
  <si>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</si>
  <si>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</si>
  <si>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</si>
  <si>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</si>
  <si>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</si>
  <si>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</si>
  <si>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</si>
  <si>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</si>
  <si>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</si>
  <si>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</si>
  <si>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</si>
  <si>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</si>
  <si>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</si>
  <si>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</si>
  <si>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</si>
  <si>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</si>
  <si>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</si>
  <si>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</si>
  <si>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</si>
  <si>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</si>
  <si>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</si>
  <si>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</si>
  <si>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</si>
  <si>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</si>
  <si>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</si>
  <si>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</si>
  <si>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</si>
  <si>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</si>
  <si>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</si>
  <si>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</si>
  <si>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</si>
  <si>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</si>
  <si>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</si>
  <si>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</si>
  <si>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</si>
  <si>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</si>
  <si>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</si>
  <si>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</si>
  <si>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</si>
  <si>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</si>
  <si>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</si>
  <si>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</si>
  <si>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</si>
  <si>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</si>
  <si>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</si>
  <si>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</si>
  <si>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</si>
  <si>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</si>
  <si>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</si>
  <si>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</si>
  <si>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</si>
  <si>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</si>
  <si>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</si>
  <si>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</si>
  <si>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</si>
  <si>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</si>
  <si>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</si>
  <si>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</si>
  <si>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</si>
  <si>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</si>
  <si>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</si>
  <si>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</si>
  <si>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</si>
  <si>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</si>
  <si>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</si>
  <si>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</si>
  <si>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</si>
  <si>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</si>
  <si>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</si>
  <si>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</si>
  <si>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</si>
  <si>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</si>
  <si>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</si>
  <si>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</si>
  <si>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</si>
  <si>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</si>
  <si>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</si>
  <si>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</si>
  <si>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</si>
  <si>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</si>
  <si>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</si>
  <si>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</si>
  <si>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</si>
  <si>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</si>
  <si>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</si>
  <si>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</si>
  <si>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</si>
  <si>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</si>
  <si>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</si>
  <si>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</si>
  <si>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</si>
  <si>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</si>
  <si>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</si>
  <si>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</si>
  <si>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</si>
  <si>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</si>
  <si>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</si>
  <si>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</si>
  <si>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</si>
  <si>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</si>
  <si>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</si>
  <si>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</si>
  <si>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</si>
  <si>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</si>
  <si>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</si>
  <si>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</si>
  <si>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</si>
  <si>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</si>
  <si>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</si>
  <si>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</si>
  <si>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</si>
  <si>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</si>
  <si>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</si>
  <si>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</si>
  <si>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</si>
  <si>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</si>
  <si>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</si>
  <si>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</si>
  <si>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</si>
  <si>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</si>
  <si>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</si>
  <si>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</si>
  <si>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</si>
  <si>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</si>
  <si>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</si>
  <si>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</si>
  <si>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</si>
  <si>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</si>
  <si>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</si>
  <si>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</si>
  <si>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</si>
  <si>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</si>
  <si>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</si>
  <si>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</si>
  <si>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</si>
  <si>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</si>
  <si>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</si>
  <si>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</si>
  <si>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</si>
  <si>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</si>
  <si>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</si>
  <si>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</si>
  <si>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</si>
  <si>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</si>
  <si>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</si>
  <si>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</si>
  <si>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</si>
  <si>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</si>
  <si>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</si>
  <si>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</si>
  <si>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</si>
  <si>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</si>
  <si>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</si>
  <si>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</si>
  <si>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</si>
  <si>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</si>
  <si>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</si>
  <si>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</si>
  <si>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</si>
  <si>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</si>
  <si>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</si>
  <si>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</si>
  <si>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</si>
  <si>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</si>
  <si>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</si>
  <si>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</si>
  <si>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</si>
  <si>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</si>
  <si>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</si>
  <si>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</si>
  <si>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</si>
  <si>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</si>
  <si>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</si>
  <si>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</si>
  <si>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</si>
  <si>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</si>
  <si>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</si>
  <si>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</si>
  <si>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</si>
  <si>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</si>
  <si>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</si>
  <si>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</si>
  <si>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</si>
  <si>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</si>
  <si>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</si>
  <si>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</si>
  <si>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</si>
  <si>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</si>
  <si>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</si>
  <si>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</si>
  <si>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</si>
  <si>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</si>
  <si>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</si>
  <si>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</si>
  <si>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</si>
  <si>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</si>
  <si>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</si>
  <si>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</si>
  <si>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</si>
  <si>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</si>
  <si>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</si>
  <si>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</si>
  <si>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</si>
  <si>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</si>
  <si>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</si>
  <si>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</si>
  <si>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</si>
  <si>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</si>
  <si>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</si>
  <si>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</si>
  <si>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</si>
  <si>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</si>
  <si>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</si>
  <si>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</si>
  <si>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</si>
  <si>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</si>
  <si>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</si>
  <si>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</si>
  <si>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</si>
  <si>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</si>
  <si>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</si>
  <si>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</si>
  <si>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</si>
  <si>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</si>
  <si>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</si>
  <si>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</si>
  <si>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</si>
  <si>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</si>
  <si>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</si>
  <si>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</si>
  <si>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</si>
  <si>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</si>
  <si>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</si>
  <si>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</si>
  <si>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</si>
  <si>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</si>
  <si>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</si>
  <si>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</si>
  <si>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</si>
  <si>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</si>
  <si>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</si>
  <si>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</si>
  <si>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</si>
  <si>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</si>
  <si>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</si>
  <si>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</si>
  <si>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</si>
  <si>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</si>
  <si>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</si>
  <si>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</si>
  <si>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</si>
  <si>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</si>
  <si>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</si>
  <si>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</si>
  <si>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</si>
  <si>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</si>
  <si>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</si>
  <si>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</si>
  <si>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</si>
  <si>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</si>
  <si>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</si>
  <si>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</si>
  <si>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</si>
  <si>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</si>
  <si>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</si>
  <si>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</si>
  <si>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</si>
  <si>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</si>
  <si>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</si>
  <si>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</si>
  <si>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</si>
  <si>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</si>
  <si>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</si>
  <si>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</si>
  <si>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</si>
  <si>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</si>
  <si>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</si>
  <si>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</si>
  <si>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</si>
  <si>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</si>
  <si>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</si>
  <si>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</si>
  <si>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</si>
  <si>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</si>
  <si>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</si>
  <si>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</si>
  <si>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</si>
  <si>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</si>
  <si>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</si>
  <si>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</si>
  <si>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</si>
  <si>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</si>
  <si>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</si>
  <si>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</si>
  <si>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</si>
  <si>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</si>
  <si>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</si>
  <si>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</si>
  <si>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</si>
  <si>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</si>
  <si>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</si>
  <si>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</si>
  <si>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</si>
  <si>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</si>
  <si>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</si>
  <si>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</si>
  <si>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</si>
  <si>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</si>
  <si>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</si>
  <si>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</si>
  <si>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</si>
  <si>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</si>
  <si>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</si>
  <si>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</si>
  <si>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</si>
  <si>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</si>
  <si>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</si>
  <si>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</si>
  <si>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</si>
  <si>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</si>
  <si>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</si>
  <si>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</si>
  <si>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</si>
  <si>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</si>
  <si>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</si>
  <si>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</si>
  <si>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</si>
  <si>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</si>
  <si>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</si>
  <si>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</si>
  <si>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</si>
  <si>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</si>
  <si>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</si>
  <si>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</si>
  <si>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</si>
  <si>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</si>
  <si>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</si>
  <si>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</si>
  <si>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</si>
  <si>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</si>
  <si>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</si>
  <si>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</si>
  <si>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</si>
  <si>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</si>
  <si>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</si>
  <si>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</si>
  <si>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</si>
  <si>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</si>
  <si>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</si>
  <si>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</si>
  <si>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</si>
  <si>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</si>
  <si>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</si>
  <si>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</si>
  <si>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</si>
  <si>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</si>
  <si>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</si>
  <si>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</si>
  <si>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</si>
  <si>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</si>
  <si>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</si>
  <si>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</si>
  <si>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</si>
  <si>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</si>
  <si>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</si>
  <si>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</si>
  <si>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</si>
  <si>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</si>
  <si>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</si>
  <si>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</si>
  <si>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</si>
  <si>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</si>
  <si>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</si>
  <si>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</si>
  <si>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</si>
  <si>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</si>
  <si>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</si>
  <si>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</si>
  <si>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</si>
  <si>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</si>
  <si>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</si>
  <si>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</si>
  <si>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</si>
  <si>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</si>
  <si>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</si>
  <si>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</si>
  <si>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</si>
  <si>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</si>
  <si>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</si>
  <si>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</si>
  <si>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</si>
  <si>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</si>
  <si>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</si>
  <si>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</si>
  <si>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</si>
  <si>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</si>
  <si>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</si>
  <si>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</si>
  <si>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</si>
  <si>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</si>
  <si>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</si>
  <si>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</si>
  <si>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</si>
  <si>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</si>
  <si>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</si>
  <si>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</si>
  <si>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</si>
  <si>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</si>
  <si>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</si>
  <si>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</si>
  <si>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</si>
  <si>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</si>
  <si>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</si>
  <si>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</si>
  <si>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</si>
  <si>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</si>
  <si>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</si>
  <si>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</si>
  <si>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</si>
  <si>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</si>
  <si>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</si>
  <si>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</si>
  <si>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</si>
  <si>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</si>
  <si>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</si>
  <si>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</si>
  <si>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</si>
  <si>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</si>
  <si>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</si>
  <si>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</si>
  <si>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</si>
  <si>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</si>
  <si>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</si>
  <si>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</si>
  <si>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</si>
  <si>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</si>
  <si>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</si>
  <si>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</si>
  <si>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</si>
  <si>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</si>
  <si>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</si>
  <si>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</si>
  <si>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</si>
  <si>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</si>
  <si>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</si>
  <si>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</si>
  <si>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</si>
  <si>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</si>
  <si>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</si>
  <si>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</si>
  <si>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</si>
  <si>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</si>
  <si>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</si>
  <si>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</si>
  <si>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</si>
  <si>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</si>
  <si>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</si>
  <si>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</si>
  <si>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</si>
  <si>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</si>
  <si>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</si>
  <si>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</si>
  <si>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</si>
  <si>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</si>
  <si>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</si>
  <si>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</si>
  <si>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</si>
  <si>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</si>
  <si>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</si>
  <si>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</si>
  <si>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</si>
  <si>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</si>
  <si>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</si>
  <si>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</si>
  <si>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</si>
  <si>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</si>
  <si>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</si>
  <si>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</si>
  <si>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</si>
  <si>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</si>
  <si>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</si>
  <si>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</si>
  <si>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</si>
  <si>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</si>
  <si>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</si>
  <si>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</si>
  <si>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</si>
  <si>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</si>
  <si>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</si>
  <si>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</si>
  <si>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</si>
  <si>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</si>
  <si>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</si>
  <si>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</si>
  <si>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</si>
  <si>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</si>
  <si>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</si>
  <si>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</si>
  <si>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</si>
  <si>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</si>
  <si>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</si>
  <si>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</si>
  <si>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</si>
  <si>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</si>
  <si>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</si>
  <si>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</si>
  <si>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</si>
  <si>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</si>
  <si>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</si>
  <si>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</si>
  <si>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</si>
  <si>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</si>
  <si>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</si>
  <si>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</si>
  <si>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</si>
  <si>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</si>
  <si>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</si>
  <si>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</si>
  <si>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</si>
  <si>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</si>
  <si>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</si>
  <si>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</si>
  <si>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</si>
  <si>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</si>
  <si>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</si>
  <si>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</si>
  <si>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</si>
  <si>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</si>
  <si>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</si>
  <si>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</si>
  <si>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</si>
  <si>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</si>
  <si>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</si>
  <si>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</si>
  <si>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</si>
  <si>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</si>
  <si>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</si>
  <si>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</si>
  <si>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</si>
  <si>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</si>
  <si>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</si>
  <si>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</si>
  <si>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</si>
  <si>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</si>
  <si>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</si>
  <si>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</si>
  <si>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</si>
  <si>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</si>
  <si>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</si>
  <si>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</si>
  <si>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</si>
  <si>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</si>
  <si>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</si>
  <si>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</si>
  <si>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</si>
  <si>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</si>
  <si>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</si>
  <si>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</si>
  <si>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</si>
  <si>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</si>
  <si>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</si>
  <si>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</si>
  <si>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</si>
  <si>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</si>
  <si>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</si>
  <si>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</si>
  <si>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</si>
  <si>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</si>
  <si>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</si>
  <si>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</si>
  <si>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</si>
  <si>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</si>
  <si>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</si>
  <si>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</si>
  <si>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</si>
  <si>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</si>
  <si>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</si>
  <si>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</si>
  <si>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</si>
  <si>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</si>
  <si>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</si>
  <si>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</si>
  <si>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</si>
  <si>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</si>
  <si>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</si>
  <si>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</si>
  <si>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</si>
  <si>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</si>
  <si>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</si>
  <si>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</si>
  <si>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</si>
  <si>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</si>
  <si>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</si>
  <si>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</si>
  <si>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</si>
  <si>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</si>
  <si>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</si>
  <si>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</si>
  <si>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</si>
  <si>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</si>
  <si>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</si>
  <si>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</si>
  <si>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</si>
  <si>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</si>
  <si>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</si>
  <si>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</si>
  <si>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</si>
  <si>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</si>
  <si>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</si>
  <si>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</si>
  <si>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</si>
  <si>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</si>
  <si>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</si>
  <si>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</si>
  <si>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</si>
  <si>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</si>
  <si>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</si>
  <si>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</si>
  <si>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</si>
  <si>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</si>
  <si>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</si>
  <si>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</si>
  <si>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</si>
  <si>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</si>
  <si>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</si>
  <si>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</si>
  <si>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</si>
  <si>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</si>
  <si>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</si>
  <si>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</si>
  <si>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</si>
  <si>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</si>
  <si>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</si>
  <si>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</si>
  <si>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</si>
  <si>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</si>
  <si>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</si>
  <si>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</si>
  <si>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</si>
  <si>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</si>
  <si>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</si>
  <si>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</si>
  <si>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</si>
  <si>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</si>
  <si>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</si>
  <si>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</si>
  <si>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</si>
  <si>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</si>
  <si>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</si>
  <si>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</si>
  <si>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</si>
  <si>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</si>
  <si>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</si>
  <si>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</si>
  <si>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</si>
  <si>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</si>
  <si>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</si>
  <si>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</si>
  <si>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</si>
  <si>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</si>
  <si>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</si>
  <si>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</si>
  <si>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</si>
  <si>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</si>
  <si>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</si>
  <si>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</si>
  <si>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</si>
  <si>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</si>
  <si>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</si>
  <si>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</si>
  <si>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</si>
  <si>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</si>
  <si>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</si>
  <si>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</si>
  <si>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</si>
  <si>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</si>
  <si>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</si>
  <si>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</si>
  <si>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</si>
  <si>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</si>
  <si>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</si>
  <si>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</si>
  <si>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</si>
  <si>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</si>
  <si>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</si>
  <si>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</si>
  <si>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</si>
  <si>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</si>
  <si>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</si>
  <si>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</si>
  <si>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</si>
  <si>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</si>
  <si>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</si>
  <si>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</si>
  <si>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</si>
  <si>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</si>
  <si>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</si>
  <si>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</si>
  <si>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</si>
  <si>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</si>
  <si>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</si>
  <si>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</si>
  <si>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</si>
  <si>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</si>
  <si>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</si>
  <si>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</si>
  <si>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</si>
  <si>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</si>
  <si>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</si>
  <si>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</si>
  <si>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</si>
  <si>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</si>
  <si>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</si>
  <si>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</si>
  <si>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</si>
  <si>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</si>
  <si>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</si>
  <si>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</si>
  <si>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</si>
  <si>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</si>
  <si>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</si>
  <si>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</si>
  <si>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</si>
  <si>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</si>
  <si>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</si>
  <si>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</si>
  <si>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</si>
  <si>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</si>
  <si>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</si>
  <si>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</si>
  <si>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</si>
  <si>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</si>
  <si>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</si>
  <si>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</si>
  <si>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</si>
  <si>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</si>
  <si>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</si>
  <si>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</si>
  <si>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</si>
  <si>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</si>
  <si>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</si>
  <si>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</si>
  <si>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</si>
  <si>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</si>
  <si>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</si>
  <si>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</si>
  <si>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</si>
  <si>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</si>
  <si>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</si>
  <si>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</si>
  <si>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</si>
  <si>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</si>
  <si>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</si>
  <si>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</si>
  <si>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</si>
  <si>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</si>
  <si>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</si>
  <si>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</si>
  <si>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</si>
  <si>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</si>
  <si>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</si>
  <si>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</si>
  <si>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</si>
  <si>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</si>
  <si>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</si>
  <si>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</si>
  <si>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</si>
  <si>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</si>
  <si>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</si>
  <si>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</si>
  <si>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</si>
  <si>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</si>
  <si>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</si>
  <si>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</si>
  <si>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</si>
  <si>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</si>
  <si>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</si>
  <si>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</si>
  <si>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</si>
  <si>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</si>
  <si>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</si>
  <si>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</si>
  <si>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</si>
  <si>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</si>
  <si>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</si>
  <si>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</si>
  <si>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</si>
  <si>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</si>
  <si>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</si>
  <si>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</si>
  <si>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</si>
  <si>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</si>
  <si>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</si>
  <si>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</si>
  <si>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</si>
  <si>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</si>
  <si>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</si>
  <si>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</si>
  <si>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</si>
  <si>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</si>
  <si>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</si>
  <si>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</si>
  <si>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</si>
  <si>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</si>
  <si>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</si>
  <si>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</si>
  <si>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</si>
  <si>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</si>
  <si>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</si>
  <si>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</si>
  <si>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</si>
  <si>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</si>
  <si>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</si>
  <si>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</si>
  <si>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</si>
  <si>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</si>
  <si>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</si>
  <si>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</si>
  <si>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</si>
  <si>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</si>
  <si>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</si>
  <si>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</si>
  <si>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</si>
  <si>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</si>
  <si>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</si>
  <si>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</si>
  <si>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</si>
  <si>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</si>
  <si>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</si>
  <si>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</si>
  <si>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</si>
  <si>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</si>
  <si>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</si>
  <si>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</si>
  <si>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</si>
  <si>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</si>
  <si>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</si>
  <si>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</si>
  <si>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</si>
  <si>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</si>
  <si>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</si>
  <si>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</si>
  <si>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</si>
  <si>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</si>
  <si>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</si>
  <si>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</si>
  <si>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</si>
  <si>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</si>
  <si>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</si>
  <si>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</si>
  <si>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</si>
  <si>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</si>
  <si>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</si>
  <si>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</si>
  <si>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</si>
  <si>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</si>
  <si>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</si>
  <si>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</si>
  <si>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</si>
  <si>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</si>
  <si>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</si>
  <si>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</si>
  <si>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</si>
  <si>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</si>
  <si>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</si>
  <si>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</si>
  <si>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</si>
  <si>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</si>
  <si>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</si>
  <si>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</si>
  <si>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</si>
  <si>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</si>
  <si>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</si>
  <si>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</si>
  <si>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</si>
  <si>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</si>
  <si>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</si>
  <si>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</si>
  <si>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</si>
  <si>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</si>
  <si>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</si>
  <si>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</si>
  <si>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</si>
  <si>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</si>
  <si>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</si>
  <si>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</si>
  <si>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</si>
  <si>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</si>
  <si>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</si>
  <si>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</si>
  <si>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</si>
  <si>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</si>
  <si>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</si>
  <si>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</si>
  <si>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</si>
  <si>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</si>
  <si>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</si>
  <si>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</si>
  <si>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</si>
  <si>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</si>
  <si>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</si>
  <si>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</si>
  <si>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</si>
  <si>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</si>
  <si>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</si>
  <si>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</si>
  <si>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</si>
  <si>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</si>
  <si>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</si>
  <si>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</si>
  <si>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</si>
  <si>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</si>
  <si>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</si>
  <si>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</si>
  <si>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</si>
  <si>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</si>
  <si>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</si>
  <si>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</si>
  <si>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</si>
  <si>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</si>
  <si>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</si>
  <si>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</si>
  <si>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</si>
  <si>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</si>
  <si>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</si>
  <si>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</si>
  <si>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</si>
  <si>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</si>
  <si>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</si>
  <si>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</si>
  <si>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</si>
  <si>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</si>
  <si>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</si>
  <si>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</si>
  <si>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</si>
  <si>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</si>
  <si>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</si>
  <si>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</si>
  <si>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</si>
  <si>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</si>
  <si>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</si>
  <si>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</si>
  <si>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</si>
  <si>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</si>
  <si>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</si>
  <si>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</si>
  <si>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</si>
  <si>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</si>
  <si>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</si>
  <si>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</si>
  <si>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</si>
  <si>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</si>
  <si>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</si>
  <si>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</si>
  <si>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</si>
  <si>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</si>
  <si>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</si>
  <si>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</si>
  <si>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</si>
  <si>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</si>
  <si>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</si>
  <si>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</si>
  <si>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</si>
  <si>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</si>
  <si>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</si>
  <si>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</si>
  <si>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</si>
  <si>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</si>
  <si>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</si>
  <si>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</si>
  <si>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</si>
  <si>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</si>
  <si>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</si>
  <si>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</si>
  <si>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</si>
  <si>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</si>
  <si>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</si>
  <si>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</si>
  <si>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</si>
  <si>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</si>
  <si>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</si>
  <si>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</si>
  <si>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</si>
  <si>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</si>
  <si>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</si>
  <si>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</si>
  <si>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</si>
  <si>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</si>
  <si>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</si>
  <si>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</si>
  <si>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</si>
  <si>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</si>
  <si>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</si>
  <si>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</si>
  <si>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</si>
  <si>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</si>
  <si>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</si>
  <si>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</si>
  <si>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</si>
  <si>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</si>
  <si>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</si>
  <si>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</si>
  <si>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</si>
  <si>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</si>
  <si>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</si>
  <si>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</si>
  <si>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</si>
  <si>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</si>
  <si>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</si>
  <si>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</si>
  <si>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</si>
  <si>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</si>
  <si>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</si>
  <si>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</si>
  <si>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</si>
  <si>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</si>
  <si>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</si>
  <si>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</si>
  <si>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</si>
  <si>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</si>
  <si>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</si>
  <si>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</si>
  <si>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</si>
  <si>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</si>
  <si>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</si>
  <si>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</si>
  <si>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</si>
  <si>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</si>
  <si>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</si>
  <si>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</si>
  <si>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</si>
  <si>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</si>
  <si>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</si>
  <si>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</si>
  <si>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</si>
  <si>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</si>
  <si>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</si>
  <si>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</si>
  <si>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</si>
  <si>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</si>
  <si>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</si>
  <si>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</si>
  <si>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</si>
  <si>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</si>
  <si>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</si>
  <si>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</si>
  <si>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</si>
  <si>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</si>
  <si>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</si>
  <si>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</si>
  <si>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</si>
  <si>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</si>
  <si>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</si>
  <si>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</si>
  <si>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</si>
  <si>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</si>
  <si>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</si>
  <si>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</si>
  <si>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</si>
  <si>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</si>
  <si>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</si>
  <si>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</si>
  <si>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</si>
  <si>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</si>
  <si>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</si>
  <si>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</si>
  <si>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</si>
  <si>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</si>
  <si>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</si>
  <si>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</si>
  <si>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</si>
  <si>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</si>
  <si>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</si>
  <si>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</si>
  <si>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</si>
  <si>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</si>
  <si>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</si>
  <si>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</si>
  <si>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</si>
  <si>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</si>
  <si>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</si>
  <si>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</si>
  <si>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</si>
  <si>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</si>
  <si>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</si>
  <si>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</si>
  <si>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</si>
  <si>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</si>
  <si>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</si>
  <si>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</si>
  <si>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</si>
  <si>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</si>
  <si>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</si>
  <si>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</si>
  <si>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</si>
  <si>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</si>
  <si>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</si>
  <si>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</si>
  <si>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</si>
  <si>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</si>
  <si>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</si>
  <si>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</si>
  <si>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</si>
  <si>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</si>
  <si>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</si>
  <si>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</si>
  <si>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</si>
  <si>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</si>
  <si>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</si>
  <si>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</si>
  <si>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</si>
  <si>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</si>
  <si>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</si>
  <si>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</si>
  <si>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</si>
  <si>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</si>
  <si>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</si>
  <si>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</si>
  <si>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</si>
  <si>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</si>
  <si>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</si>
  <si>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</si>
  <si>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</si>
  <si>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</si>
  <si>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</si>
  <si>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</si>
  <si>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</si>
  <si>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</si>
  <si>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</si>
  <si>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</si>
  <si>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</si>
  <si>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</si>
  <si>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</si>
  <si>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</si>
  <si>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</si>
  <si>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</si>
  <si>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</si>
  <si>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</si>
  <si>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</si>
  <si>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</si>
  <si>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</si>
  <si>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</si>
  <si>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</si>
  <si>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</si>
  <si>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</si>
  <si>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</si>
  <si>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</si>
  <si>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</si>
  <si>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</si>
  <si>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</si>
  <si>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</si>
  <si>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</si>
  <si>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</si>
  <si>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</si>
  <si>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</si>
  <si>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</si>
  <si>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</si>
  <si>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</si>
  <si>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</si>
  <si>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</si>
  <si>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</si>
  <si>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</si>
  <si>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</si>
  <si>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</si>
  <si>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</si>
  <si>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</si>
  <si>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</si>
  <si>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</si>
  <si>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</si>
  <si>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</si>
  <si>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</si>
  <si>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</si>
  <si>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</si>
  <si>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</si>
  <si>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</si>
  <si>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</si>
  <si>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</si>
  <si>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</si>
  <si>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</si>
  <si>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</si>
  <si>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</si>
  <si>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</si>
  <si>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</si>
  <si>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</si>
  <si>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</si>
  <si>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</si>
  <si>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</si>
  <si>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</si>
  <si>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</si>
  <si>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</si>
  <si>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</si>
  <si>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</si>
  <si>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</si>
  <si>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</si>
  <si>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</si>
  <si>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</si>
  <si>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</si>
  <si>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</si>
  <si>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</si>
  <si>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</si>
  <si>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</si>
  <si>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</si>
  <si>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</si>
  <si>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</si>
  <si>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</si>
  <si>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</si>
  <si>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</si>
  <si>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</si>
  <si>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</si>
  <si>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</si>
  <si>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</si>
  <si>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</si>
  <si>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</si>
  <si>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</si>
  <si>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</si>
  <si>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</si>
  <si>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</si>
  <si>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</si>
  <si>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</si>
  <si>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</si>
  <si>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</si>
  <si>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</si>
  <si>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</si>
  <si>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</si>
  <si>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</si>
  <si>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</si>
  <si>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</si>
  <si>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</si>
  <si>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</si>
  <si>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</si>
  <si>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</si>
  <si>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</si>
  <si>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</si>
  <si>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</si>
  <si>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</si>
  <si>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</si>
  <si>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</si>
  <si>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</si>
  <si>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</si>
  <si>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</si>
  <si>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</si>
  <si>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</si>
  <si>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</si>
  <si>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</si>
  <si>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</si>
  <si>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</si>
  <si>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</si>
  <si>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</si>
  <si>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</si>
  <si>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</si>
  <si>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</si>
  <si>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</si>
  <si>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</si>
  <si>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</si>
  <si>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</si>
  <si>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</si>
  <si>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</si>
  <si>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</si>
  <si>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</si>
  <si>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</si>
  <si>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</si>
  <si>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</si>
  <si>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</si>
  <si>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</si>
  <si>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</si>
  <si>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</si>
  <si>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</si>
  <si>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</si>
  <si>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</si>
  <si>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</si>
  <si>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</si>
  <si>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</si>
  <si>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</si>
  <si>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</si>
  <si>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</si>
  <si>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</si>
  <si>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</si>
  <si>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</si>
  <si>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</si>
  <si>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</si>
  <si>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</si>
  <si>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</si>
  <si>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</si>
  <si>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</si>
  <si>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</si>
  <si>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</si>
  <si>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</si>
  <si>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</si>
  <si>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</si>
  <si>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</si>
  <si>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</si>
  <si>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</si>
  <si>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</si>
  <si>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</si>
  <si>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</si>
  <si>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</si>
  <si>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</si>
  <si>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</si>
  <si>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</si>
  <si>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</si>
  <si>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</si>
  <si>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</si>
  <si>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</si>
  <si>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</si>
  <si>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</si>
  <si>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</si>
  <si>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</si>
  <si>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</si>
  <si>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</si>
  <si>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</si>
  <si>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</si>
  <si>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</si>
  <si>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</si>
  <si>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</si>
  <si>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</si>
  <si>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</si>
  <si>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</si>
  <si>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</si>
  <si>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</si>
  <si>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</si>
  <si>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</si>
  <si>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</si>
  <si>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</si>
  <si>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</si>
  <si>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</si>
  <si>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</si>
  <si>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</si>
  <si>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</si>
  <si>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</si>
  <si>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</si>
  <si>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</si>
  <si>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</si>
  <si>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</si>
  <si>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</si>
  <si>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</si>
  <si>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</si>
  <si>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</si>
  <si>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</si>
  <si>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</si>
  <si>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</si>
  <si>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</si>
  <si>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</si>
  <si>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</si>
  <si>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</si>
  <si>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</si>
  <si>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</si>
  <si>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</si>
  <si>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</si>
  <si>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</si>
  <si>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</si>
  <si>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</si>
  <si>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</si>
  <si>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</si>
  <si>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</si>
  <si>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</si>
  <si>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</si>
  <si>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</si>
  <si>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</si>
  <si>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</si>
  <si>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</si>
  <si>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</si>
  <si>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</si>
  <si>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</si>
  <si>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</si>
  <si>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</si>
  <si>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</si>
  <si>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</si>
  <si>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</si>
  <si>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</si>
  <si>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</si>
  <si>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</si>
  <si>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</si>
  <si>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</si>
  <si>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</si>
  <si>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</si>
  <si>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</si>
  <si>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</si>
  <si>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</si>
  <si>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</si>
  <si>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</si>
  <si>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</si>
  <si>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</si>
  <si>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</si>
  <si>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</si>
  <si>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</si>
  <si>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</si>
  <si>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</si>
  <si>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</si>
  <si>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</si>
  <si>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</si>
  <si>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</si>
  <si>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</si>
  <si>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</si>
  <si>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</si>
  <si>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</si>
  <si>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</si>
  <si>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</si>
  <si>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</si>
  <si>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</si>
  <si>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</si>
  <si>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</si>
  <si>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</si>
  <si>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</si>
  <si>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</si>
  <si>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</si>
  <si>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</si>
  <si>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</si>
  <si>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</si>
  <si>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</si>
  <si>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</si>
  <si>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</si>
  <si>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</si>
  <si>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</si>
  <si>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</si>
  <si>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</si>
  <si>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</si>
  <si>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</si>
  <si>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</si>
  <si>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</si>
  <si>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</si>
  <si>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</si>
  <si>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</si>
  <si>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</si>
  <si>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</si>
  <si>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</si>
  <si>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</si>
  <si>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</si>
  <si>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</si>
  <si>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</si>
  <si>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</si>
  <si>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</si>
  <si>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</si>
  <si>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</si>
  <si>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</si>
  <si>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</si>
  <si>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</si>
  <si>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</si>
  <si>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</si>
  <si>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</si>
  <si>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</si>
  <si>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</si>
  <si>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</si>
  <si>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</si>
  <si>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</si>
  <si>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</si>
  <si>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</si>
  <si>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</si>
  <si>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</si>
  <si>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</si>
  <si>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</si>
  <si>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</si>
  <si>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</si>
  <si>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</si>
  <si>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</si>
  <si>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</si>
  <si>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</si>
  <si>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</si>
  <si>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</si>
  <si>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</si>
  <si>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</si>
  <si>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</si>
  <si>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</si>
  <si>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</si>
  <si>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</si>
  <si>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</si>
  <si>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</si>
  <si>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</si>
  <si>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</si>
  <si>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</si>
  <si>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</si>
  <si>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</si>
  <si>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</si>
  <si>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</si>
  <si>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</si>
  <si>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</si>
  <si>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</si>
  <si>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</si>
  <si>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</si>
  <si>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</si>
  <si>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</si>
  <si>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</si>
  <si>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</si>
  <si>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</si>
  <si>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</si>
  <si>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</si>
  <si>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</si>
  <si>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</si>
  <si>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</si>
  <si>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وغدیر 50188 تا 237.8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</si>
  <si>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</si>
  <si>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</si>
  <si>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</si>
  <si>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</si>
  <si>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</si>
  <si>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</si>
  <si>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</si>
  <si>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</si>
  <si>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</si>
  <si>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</si>
  <si>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</si>
  <si>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</si>
  <si>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شاراک 371 تا 762</t>
  </si>
  <si>
    <t>وغدیر 161 تا 288.3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</si>
</sst>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V39" sqref="V3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7"/>
  <sheetViews>
    <sheetView tabSelected="1" topLeftCell="G91"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507</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719548018.30835581</v>
      </c>
      <c r="M21" s="168" t="s">
        <v>4299</v>
      </c>
      <c r="N21" s="113">
        <f t="shared" ref="N21:N28" si="9">O21*P21</f>
        <v>446153848.00000006</v>
      </c>
      <c r="O21" s="99">
        <v>1573180</v>
      </c>
      <c r="P21" s="185">
        <f>P51</f>
        <v>283.60000000000002</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522</v>
      </c>
      <c r="AM21" s="113">
        <f t="shared" ref="AM21:AM120" si="11">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17500549.5</v>
      </c>
      <c r="O22" s="99">
        <v>3815</v>
      </c>
      <c r="P22" s="185">
        <f>P47</f>
        <v>4587.3</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521</v>
      </c>
      <c r="AM22" s="113">
        <f t="shared" si="11"/>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5226</v>
      </c>
      <c r="N23" s="113">
        <f t="shared" si="9"/>
        <v>173378.40000000002</v>
      </c>
      <c r="O23" s="99">
        <v>156</v>
      </c>
      <c r="P23" s="185">
        <f>P50</f>
        <v>1111.4000000000001</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520</v>
      </c>
      <c r="AM23" s="113">
        <f t="shared" si="11"/>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614977753.90835583</v>
      </c>
      <c r="G24" s="95">
        <f t="shared" si="0"/>
        <v>-334671408.5264172</v>
      </c>
      <c r="H24" s="11"/>
      <c r="I24" s="96"/>
      <c r="J24" s="96"/>
      <c r="K24" s="213"/>
      <c r="L24" s="117"/>
      <c r="M24" s="213" t="s">
        <v>4392</v>
      </c>
      <c r="N24" s="113">
        <f t="shared" si="9"/>
        <v>2693129.9</v>
      </c>
      <c r="O24" s="99">
        <v>443</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519</v>
      </c>
      <c r="AM24" s="113">
        <f t="shared" si="11"/>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5252</v>
      </c>
      <c r="N25" s="113">
        <f t="shared" si="9"/>
        <v>12120000</v>
      </c>
      <c r="O25" s="99">
        <v>30</v>
      </c>
      <c r="P25" s="185">
        <f>P53</f>
        <v>404000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507</v>
      </c>
      <c r="AM25" s="113">
        <f t="shared" si="11"/>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5251</v>
      </c>
      <c r="N26" s="113">
        <f t="shared" si="9"/>
        <v>1524500</v>
      </c>
      <c r="O26" s="99">
        <v>500</v>
      </c>
      <c r="P26" s="185">
        <f>P52</f>
        <v>3049</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501</v>
      </c>
      <c r="AM26" s="113">
        <f t="shared" si="11"/>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5244</v>
      </c>
      <c r="N27" s="113">
        <f t="shared" si="9"/>
        <v>-13680000</v>
      </c>
      <c r="O27" s="99">
        <v>-1200</v>
      </c>
      <c r="P27" s="185">
        <f>P54</f>
        <v>11400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500</v>
      </c>
      <c r="AM27" s="113">
        <f t="shared" si="11"/>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98'!D90</f>
        <v>-23955909</v>
      </c>
      <c r="M28" s="213" t="s">
        <v>4406</v>
      </c>
      <c r="N28" s="113">
        <f t="shared" si="9"/>
        <v>119487696</v>
      </c>
      <c r="O28" s="99">
        <v>156808</v>
      </c>
      <c r="P28" s="185">
        <f>P48</f>
        <v>762</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499</v>
      </c>
      <c r="AM28" s="113">
        <f t="shared" si="11"/>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494</v>
      </c>
      <c r="AM29" s="113">
        <f t="shared" si="11"/>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51" si="13">V30*(1+$W$19/100)</f>
        <v>202.5299212273973</v>
      </c>
      <c r="X30" s="32">
        <f t="shared" ref="X30:X51" si="14">V30*(1+$X$19/100)</f>
        <v>206.5010961534247</v>
      </c>
      <c r="Y30" s="96"/>
      <c r="Z30" s="96"/>
      <c r="AH30" s="99">
        <v>11</v>
      </c>
      <c r="AI30" s="113" t="s">
        <v>4054</v>
      </c>
      <c r="AJ30" s="113">
        <v>-170000</v>
      </c>
      <c r="AK30" s="99">
        <v>5</v>
      </c>
      <c r="AL30" s="99">
        <f t="shared" si="10"/>
        <v>493</v>
      </c>
      <c r="AM30" s="113">
        <f t="shared" si="11"/>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1530096</v>
      </c>
      <c r="O31" s="69">
        <v>2008</v>
      </c>
      <c r="P31" s="99">
        <f>P48</f>
        <v>762</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488</v>
      </c>
      <c r="AM31" s="113">
        <f t="shared" si="11"/>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5226</v>
      </c>
      <c r="N32" s="113">
        <f t="shared" si="15"/>
        <v>173378.40000000002</v>
      </c>
      <c r="O32" s="69">
        <v>156</v>
      </c>
      <c r="P32" s="99">
        <f>P50</f>
        <v>1111.4000000000001</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487</v>
      </c>
      <c r="AM32" s="113">
        <f t="shared" si="11"/>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284412.60000000003</v>
      </c>
      <c r="O33" s="69">
        <v>62</v>
      </c>
      <c r="P33" s="99">
        <f>P47</f>
        <v>4587.3</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471</v>
      </c>
      <c r="AM33" s="113">
        <f t="shared" si="11"/>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98676351.200000003</v>
      </c>
      <c r="O34" s="69">
        <v>347942</v>
      </c>
      <c r="P34" s="99">
        <f>P51</f>
        <v>283.60000000000002</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471</v>
      </c>
      <c r="AM34" s="113">
        <f t="shared" si="11"/>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459</v>
      </c>
      <c r="AM35" s="113">
        <f t="shared" si="11"/>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457</v>
      </c>
      <c r="AM36" s="113">
        <f t="shared" si="11"/>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-S173</f>
        <v>-719548018.30835581</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457</v>
      </c>
      <c r="AM37" s="113">
        <f t="shared" si="11"/>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456</v>
      </c>
      <c r="AM38" s="113">
        <f t="shared" si="11"/>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452</v>
      </c>
      <c r="AM39" s="113">
        <f t="shared" si="11"/>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449</v>
      </c>
      <c r="AM40" s="113">
        <f t="shared" si="11"/>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445</v>
      </c>
      <c r="AM41" s="113">
        <f t="shared" si="11"/>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444</v>
      </c>
      <c r="AM42" s="113">
        <f t="shared" si="11"/>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444</v>
      </c>
      <c r="AM43" s="113">
        <f t="shared" si="11"/>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443</v>
      </c>
      <c r="AM44" s="113">
        <f t="shared" si="11"/>
        <v>48730000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5202</v>
      </c>
      <c r="L45" s="117">
        <v>-11127718</v>
      </c>
      <c r="M45" s="168" t="s">
        <v>4452</v>
      </c>
      <c r="N45" s="113">
        <v>29</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442</v>
      </c>
      <c r="AM45" s="113">
        <f t="shared" si="11"/>
        <v>167960000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c r="P46" s="99"/>
      <c r="Q46" s="169">
        <v>25661167</v>
      </c>
      <c r="R46" s="213" t="s">
        <v>5121</v>
      </c>
      <c r="S46" s="197">
        <f>S45-1</f>
        <v>61</v>
      </c>
      <c r="T46" s="213" t="s">
        <v>5257</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435</v>
      </c>
      <c r="AM46" s="113">
        <f t="shared" si="11"/>
        <v>195750000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5139</v>
      </c>
      <c r="L47" s="117">
        <f>-31884*P51</f>
        <v>-9042302.4000000004</v>
      </c>
      <c r="M47" s="21" t="s">
        <v>4388</v>
      </c>
      <c r="N47" s="117">
        <f t="shared" ref="N47:N54" si="16">O47*P47</f>
        <v>100920.6</v>
      </c>
      <c r="O47" s="69">
        <v>22</v>
      </c>
      <c r="P47" s="69">
        <v>4587.3</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429</v>
      </c>
      <c r="AM47" s="113">
        <f t="shared" si="11"/>
        <v>1201200000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71589138</v>
      </c>
      <c r="O48" s="69">
        <v>93949</v>
      </c>
      <c r="P48" s="69">
        <v>762</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428</v>
      </c>
      <c r="AM48" s="113">
        <f t="shared" si="11"/>
        <v>-642000000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339731.39999999997</v>
      </c>
      <c r="O49" s="69">
        <v>51</v>
      </c>
      <c r="P49" s="69">
        <v>6661.4</v>
      </c>
      <c r="Q49" s="169">
        <v>608751</v>
      </c>
      <c r="R49" s="213" t="s">
        <v>5188</v>
      </c>
      <c r="S49" s="197">
        <f>S48-20</f>
        <v>21</v>
      </c>
      <c r="T49" s="213" t="s">
        <v>5192</v>
      </c>
      <c r="U49" s="213">
        <v>6060</v>
      </c>
      <c r="V49" s="213">
        <f t="shared" si="6"/>
        <v>6249.736109589041</v>
      </c>
      <c r="W49" s="32">
        <f t="shared" si="13"/>
        <v>6374.730831780822</v>
      </c>
      <c r="X49" s="32">
        <f t="shared" si="14"/>
        <v>6499.7255539726029</v>
      </c>
      <c r="Y49" s="122" t="s">
        <v>25</v>
      </c>
      <c r="AC49" t="s">
        <v>25</v>
      </c>
      <c r="AD49" t="s">
        <v>25</v>
      </c>
      <c r="AF49" s="115"/>
      <c r="AH49" s="99">
        <v>30</v>
      </c>
      <c r="AI49" s="113" t="s">
        <v>3911</v>
      </c>
      <c r="AJ49" s="113">
        <v>3050000</v>
      </c>
      <c r="AK49" s="99">
        <v>3</v>
      </c>
      <c r="AL49" s="99">
        <f>AL50+AK49</f>
        <v>428</v>
      </c>
      <c r="AM49" s="113">
        <f t="shared" si="11"/>
        <v>1305400000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5226</v>
      </c>
      <c r="N50" s="117">
        <f t="shared" si="16"/>
        <v>173378.40000000002</v>
      </c>
      <c r="O50" s="69">
        <v>156</v>
      </c>
      <c r="P50" s="69">
        <v>1111.4000000000001</v>
      </c>
      <c r="Q50" s="169">
        <v>1227296</v>
      </c>
      <c r="R50" s="213" t="s">
        <v>5194</v>
      </c>
      <c r="S50" s="197">
        <f>S49-1</f>
        <v>20</v>
      </c>
      <c r="T50" s="213" t="s">
        <v>5196</v>
      </c>
      <c r="U50" s="213">
        <v>6108</v>
      </c>
      <c r="V50" s="213">
        <f t="shared" si="6"/>
        <v>6294.5533808219188</v>
      </c>
      <c r="W50" s="32">
        <f t="shared" si="13"/>
        <v>6420.4444484383575</v>
      </c>
      <c r="X50" s="32">
        <f t="shared" si="14"/>
        <v>6546.3355160547962</v>
      </c>
      <c r="Y50" t="s">
        <v>25</v>
      </c>
      <c r="AA50" s="96"/>
      <c r="AH50" s="99">
        <v>31</v>
      </c>
      <c r="AI50" s="113" t="s">
        <v>3935</v>
      </c>
      <c r="AJ50" s="113">
        <v>-8299612</v>
      </c>
      <c r="AK50" s="99">
        <v>2</v>
      </c>
      <c r="AL50" s="99">
        <f t="shared" si="10"/>
        <v>425</v>
      </c>
      <c r="AM50" s="113">
        <f t="shared" si="11"/>
        <v>-3527335100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5262</v>
      </c>
      <c r="L51" s="117">
        <f>151067*P51+500*P47</f>
        <v>45136251.200000003</v>
      </c>
      <c r="M51" s="19" t="s">
        <v>4178</v>
      </c>
      <c r="N51" s="113">
        <f t="shared" si="16"/>
        <v>865585769.60000002</v>
      </c>
      <c r="O51" s="99">
        <v>3052136</v>
      </c>
      <c r="P51" s="99">
        <v>283.60000000000002</v>
      </c>
      <c r="Q51" s="169">
        <v>741022</v>
      </c>
      <c r="R51" s="213" t="s">
        <v>5150</v>
      </c>
      <c r="S51" s="197">
        <f>S50-1</f>
        <v>19</v>
      </c>
      <c r="T51" s="213" t="s">
        <v>5201</v>
      </c>
      <c r="U51" s="213">
        <v>737.6</v>
      </c>
      <c r="V51" s="213">
        <f t="shared" si="6"/>
        <v>759.56229260273972</v>
      </c>
      <c r="W51" s="32">
        <f t="shared" si="13"/>
        <v>774.75353845479458</v>
      </c>
      <c r="X51" s="32">
        <f t="shared" si="14"/>
        <v>789.94478430684933</v>
      </c>
      <c r="AA51" s="96"/>
      <c r="AH51" s="99">
        <v>32</v>
      </c>
      <c r="AI51" s="113" t="s">
        <v>3930</v>
      </c>
      <c r="AJ51" s="113">
        <v>5000000</v>
      </c>
      <c r="AK51" s="99">
        <v>14</v>
      </c>
      <c r="AL51" s="99">
        <f t="shared" si="10"/>
        <v>423</v>
      </c>
      <c r="AM51" s="113">
        <f t="shared" si="11"/>
        <v>2115000000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5246</v>
      </c>
      <c r="N52" s="113">
        <f t="shared" si="16"/>
        <v>0</v>
      </c>
      <c r="O52" s="99">
        <v>0</v>
      </c>
      <c r="P52" s="99">
        <v>3049</v>
      </c>
      <c r="Q52" s="169">
        <v>1866540</v>
      </c>
      <c r="R52" s="213" t="s">
        <v>5204</v>
      </c>
      <c r="S52" s="197">
        <f>S51-1</f>
        <v>18</v>
      </c>
      <c r="T52" s="213" t="s">
        <v>5205</v>
      </c>
      <c r="U52" s="213">
        <v>740.2</v>
      </c>
      <c r="V52" s="213">
        <f t="shared" ref="V52:V68" si="17">U52*(1+$R$104+$Q$15*S52/36500)</f>
        <v>761.67188383561654</v>
      </c>
      <c r="W52" s="32">
        <f t="shared" ref="W52:W70" si="18">V52*(1+$W$19/100)</f>
        <v>776.9053215123289</v>
      </c>
      <c r="X52" s="32">
        <f t="shared" ref="X52:X70" si="19">V52*(1+$X$19/100)</f>
        <v>792.13875918904125</v>
      </c>
      <c r="Y52" t="s">
        <v>25</v>
      </c>
      <c r="AA52" s="96"/>
      <c r="AH52" s="99">
        <v>33</v>
      </c>
      <c r="AI52" s="113" t="s">
        <v>989</v>
      </c>
      <c r="AJ52" s="113">
        <v>-90000</v>
      </c>
      <c r="AK52" s="99">
        <v>1</v>
      </c>
      <c r="AL52" s="99">
        <f t="shared" si="10"/>
        <v>409</v>
      </c>
      <c r="AM52" s="113">
        <f t="shared" si="11"/>
        <v>-36810000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404000</v>
      </c>
      <c r="Q53" s="169">
        <v>1373184</v>
      </c>
      <c r="R53" s="213" t="s">
        <v>5208</v>
      </c>
      <c r="S53" s="197">
        <f>S52-3</f>
        <v>15</v>
      </c>
      <c r="T53" s="213" t="s">
        <v>5209</v>
      </c>
      <c r="U53" s="213">
        <v>750.6</v>
      </c>
      <c r="V53" s="213">
        <f t="shared" si="17"/>
        <v>770.64616109589053</v>
      </c>
      <c r="W53" s="32">
        <f t="shared" si="18"/>
        <v>786.05908431780836</v>
      </c>
      <c r="X53" s="32">
        <f t="shared" si="19"/>
        <v>801.47200753972618</v>
      </c>
      <c r="Y53" t="s">
        <v>25</v>
      </c>
      <c r="Z53" t="s">
        <v>25</v>
      </c>
      <c r="AH53" s="99">
        <v>34</v>
      </c>
      <c r="AI53" s="113" t="s">
        <v>4052</v>
      </c>
      <c r="AJ53" s="113">
        <v>5600000</v>
      </c>
      <c r="AK53" s="99">
        <v>4</v>
      </c>
      <c r="AL53" s="99">
        <f t="shared" si="10"/>
        <v>408</v>
      </c>
      <c r="AM53" s="113">
        <f t="shared" si="11"/>
        <v>2284800000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5245</v>
      </c>
      <c r="N54" s="117">
        <f t="shared" si="16"/>
        <v>0</v>
      </c>
      <c r="O54" s="74">
        <v>0</v>
      </c>
      <c r="P54" s="74">
        <v>11400</v>
      </c>
      <c r="Q54" s="169">
        <v>47710449</v>
      </c>
      <c r="R54" s="213" t="s">
        <v>5208</v>
      </c>
      <c r="S54" s="197">
        <f>S53</f>
        <v>15</v>
      </c>
      <c r="T54" s="213" t="s">
        <v>5210</v>
      </c>
      <c r="U54" s="213">
        <v>4317.3</v>
      </c>
      <c r="V54" s="213">
        <f t="shared" si="17"/>
        <v>4432.6014805479463</v>
      </c>
      <c r="W54" s="32">
        <f t="shared" si="18"/>
        <v>4521.2535101589056</v>
      </c>
      <c r="X54" s="32">
        <f t="shared" si="19"/>
        <v>4609.9055397698639</v>
      </c>
      <c r="Y54" t="s">
        <v>25</v>
      </c>
      <c r="AH54" s="99">
        <v>35</v>
      </c>
      <c r="AI54" s="113" t="s">
        <v>3980</v>
      </c>
      <c r="AJ54" s="113">
        <v>750000</v>
      </c>
      <c r="AK54" s="99">
        <v>2</v>
      </c>
      <c r="AL54" s="99">
        <f t="shared" si="10"/>
        <v>404</v>
      </c>
      <c r="AM54" s="113">
        <f t="shared" si="11"/>
        <v>303000000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 t="shared" si="17"/>
        <v>6651.3149819178088</v>
      </c>
      <c r="W55" s="32">
        <f t="shared" si="18"/>
        <v>6784.3412815561651</v>
      </c>
      <c r="X55" s="32">
        <f t="shared" si="19"/>
        <v>6917.3675811945213</v>
      </c>
      <c r="Y55" t="s">
        <v>25</v>
      </c>
      <c r="Z55" t="s">
        <v>25</v>
      </c>
      <c r="AH55" s="171">
        <v>36</v>
      </c>
      <c r="AI55" s="170" t="s">
        <v>3990</v>
      </c>
      <c r="AJ55" s="170">
        <v>-4242000</v>
      </c>
      <c r="AK55" s="171">
        <v>2</v>
      </c>
      <c r="AL55" s="171">
        <f t="shared" si="10"/>
        <v>402</v>
      </c>
      <c r="AM55" s="170">
        <f t="shared" si="11"/>
        <v>-1705284000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 t="shared" si="17"/>
        <v>4406.8214991780824</v>
      </c>
      <c r="W56" s="32">
        <f t="shared" si="18"/>
        <v>4494.9579291616437</v>
      </c>
      <c r="X56" s="32">
        <f t="shared" si="19"/>
        <v>4583.094359145206</v>
      </c>
      <c r="Y56" s="96" t="s">
        <v>25</v>
      </c>
      <c r="AH56" s="99">
        <v>37</v>
      </c>
      <c r="AI56" s="113" t="s">
        <v>3990</v>
      </c>
      <c r="AJ56" s="113">
        <v>4100000</v>
      </c>
      <c r="AK56" s="99">
        <v>0</v>
      </c>
      <c r="AL56" s="99">
        <f t="shared" si="10"/>
        <v>400</v>
      </c>
      <c r="AM56" s="113">
        <f t="shared" si="11"/>
        <v>1640000000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5212</v>
      </c>
      <c r="S57" s="197">
        <f>S56</f>
        <v>14</v>
      </c>
      <c r="T57" s="213" t="s">
        <v>5216</v>
      </c>
      <c r="U57" s="213">
        <v>6554</v>
      </c>
      <c r="V57" s="213">
        <f t="shared" si="17"/>
        <v>6724.0089643835627</v>
      </c>
      <c r="W57" s="32">
        <f t="shared" si="18"/>
        <v>6858.4891436712342</v>
      </c>
      <c r="X57" s="32">
        <f t="shared" si="19"/>
        <v>6992.9693229589057</v>
      </c>
      <c r="Y57" t="s">
        <v>25</v>
      </c>
      <c r="AH57" s="99">
        <v>38</v>
      </c>
      <c r="AI57" s="113" t="s">
        <v>3996</v>
      </c>
      <c r="AJ57" s="113">
        <v>4100000</v>
      </c>
      <c r="AK57" s="99">
        <v>1</v>
      </c>
      <c r="AL57" s="99">
        <f t="shared" si="10"/>
        <v>400</v>
      </c>
      <c r="AM57" s="113">
        <f t="shared" si="11"/>
        <v>1640000000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5220</v>
      </c>
      <c r="S58" s="197">
        <f>S57-1</f>
        <v>13</v>
      </c>
      <c r="T58" s="213" t="s">
        <v>5221</v>
      </c>
      <c r="U58" s="213">
        <v>773.1</v>
      </c>
      <c r="V58" s="213">
        <f t="shared" si="17"/>
        <v>792.56093917808232</v>
      </c>
      <c r="W58" s="32">
        <f t="shared" si="18"/>
        <v>808.41215796164397</v>
      </c>
      <c r="X58" s="32">
        <f t="shared" si="19"/>
        <v>824.26337674520562</v>
      </c>
      <c r="Y58" t="s">
        <v>25</v>
      </c>
      <c r="AH58" s="99">
        <v>39</v>
      </c>
      <c r="AI58" s="113" t="s">
        <v>4005</v>
      </c>
      <c r="AJ58" s="113">
        <v>790000</v>
      </c>
      <c r="AK58" s="99">
        <v>15</v>
      </c>
      <c r="AL58" s="99">
        <f t="shared" si="10"/>
        <v>399</v>
      </c>
      <c r="AM58" s="113">
        <f t="shared" si="11"/>
        <v>315210000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5222</v>
      </c>
      <c r="S59" s="197">
        <f>S58-1</f>
        <v>12</v>
      </c>
      <c r="T59" s="213" t="s">
        <v>5223</v>
      </c>
      <c r="U59" s="213">
        <v>778.5</v>
      </c>
      <c r="V59" s="213">
        <f t="shared" si="17"/>
        <v>797.49966575342478</v>
      </c>
      <c r="W59" s="32">
        <f t="shared" si="18"/>
        <v>813.44965906849325</v>
      </c>
      <c r="X59" s="32">
        <f t="shared" si="19"/>
        <v>829.39965238356183</v>
      </c>
      <c r="Y59" t="s">
        <v>25</v>
      </c>
      <c r="Z59" s="96"/>
      <c r="AA59" s="96"/>
      <c r="AB59" s="96"/>
      <c r="AC59" s="96"/>
      <c r="AH59" s="171">
        <v>40</v>
      </c>
      <c r="AI59" s="170" t="s">
        <v>4036</v>
      </c>
      <c r="AJ59" s="170">
        <v>-3865000</v>
      </c>
      <c r="AK59" s="171">
        <v>6</v>
      </c>
      <c r="AL59" s="171">
        <f t="shared" si="10"/>
        <v>384</v>
      </c>
      <c r="AM59" s="172">
        <f t="shared" si="11"/>
        <v>-1484160000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5224</v>
      </c>
      <c r="S60" s="197">
        <f>S59-1</f>
        <v>11</v>
      </c>
      <c r="T60" s="213" t="s">
        <v>5249</v>
      </c>
      <c r="U60" s="213">
        <v>4316.8</v>
      </c>
      <c r="V60" s="213">
        <f t="shared" si="17"/>
        <v>4418.8420558904108</v>
      </c>
      <c r="W60" s="32">
        <f t="shared" si="18"/>
        <v>4507.2188970082188</v>
      </c>
      <c r="X60" s="32">
        <f t="shared" si="19"/>
        <v>4595.5957381260278</v>
      </c>
      <c r="Y60" t="s">
        <v>25</v>
      </c>
      <c r="Z60" s="96" t="s">
        <v>25</v>
      </c>
      <c r="AA60" s="96"/>
      <c r="AB60" s="96"/>
      <c r="AC60" s="96"/>
      <c r="AH60" s="20">
        <v>41</v>
      </c>
      <c r="AI60" s="117" t="s">
        <v>4066</v>
      </c>
      <c r="AJ60" s="117">
        <v>18800000</v>
      </c>
      <c r="AK60" s="20">
        <v>3</v>
      </c>
      <c r="AL60" s="99">
        <f t="shared" si="10"/>
        <v>378</v>
      </c>
      <c r="AM60" s="113">
        <f t="shared" si="11"/>
        <v>7106400000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-S174</f>
        <v>-23802896.096731108</v>
      </c>
      <c r="Q61" s="169">
        <v>123799</v>
      </c>
      <c r="R61" s="213" t="s">
        <v>5224</v>
      </c>
      <c r="S61" s="197">
        <f>S60</f>
        <v>11</v>
      </c>
      <c r="T61" s="213" t="s">
        <v>5228</v>
      </c>
      <c r="U61" s="213">
        <v>790</v>
      </c>
      <c r="V61" s="213">
        <f t="shared" si="17"/>
        <v>808.67430136986309</v>
      </c>
      <c r="W61" s="32">
        <f t="shared" si="18"/>
        <v>824.84778739726039</v>
      </c>
      <c r="X61" s="32">
        <f t="shared" si="19"/>
        <v>841.02127342465769</v>
      </c>
      <c r="Y61" t="s">
        <v>25</v>
      </c>
      <c r="Z61" s="96"/>
      <c r="AA61" s="96"/>
      <c r="AB61" s="96"/>
      <c r="AC61" s="96"/>
      <c r="AH61" s="20">
        <v>42</v>
      </c>
      <c r="AI61" s="117" t="s">
        <v>4083</v>
      </c>
      <c r="AJ61" s="117">
        <v>500000</v>
      </c>
      <c r="AK61" s="20">
        <v>1</v>
      </c>
      <c r="AL61" s="99">
        <f t="shared" si="10"/>
        <v>375</v>
      </c>
      <c r="AM61" s="113">
        <f t="shared" si="11"/>
        <v>187500000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5241</v>
      </c>
      <c r="S62" s="197">
        <f>S61-4</f>
        <v>7</v>
      </c>
      <c r="T62" s="213" t="s">
        <v>5247</v>
      </c>
      <c r="U62" s="213">
        <v>4159331</v>
      </c>
      <c r="V62" s="213">
        <f t="shared" si="17"/>
        <v>4244887.8688986311</v>
      </c>
      <c r="W62" s="32">
        <f t="shared" si="18"/>
        <v>4329785.6262766039</v>
      </c>
      <c r="X62" s="32">
        <f t="shared" si="19"/>
        <v>4414683.3836545767</v>
      </c>
      <c r="Y62" t="s">
        <v>25</v>
      </c>
      <c r="Z62" s="96"/>
      <c r="AA62" s="96"/>
      <c r="AB62" s="96"/>
      <c r="AC62" s="96"/>
      <c r="AH62" s="20">
        <v>43</v>
      </c>
      <c r="AI62" s="117" t="s">
        <v>4087</v>
      </c>
      <c r="AJ62" s="117">
        <v>200000</v>
      </c>
      <c r="AK62" s="20">
        <v>3</v>
      </c>
      <c r="AL62" s="99">
        <f>AL63+AK62</f>
        <v>374</v>
      </c>
      <c r="AM62" s="113">
        <f t="shared" si="11"/>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 t="shared" si="17"/>
        <v>3186.2191123287676</v>
      </c>
      <c r="W63" s="32">
        <f t="shared" si="18"/>
        <v>3249.9434945753428</v>
      </c>
      <c r="X63" s="32">
        <f t="shared" si="19"/>
        <v>3313.6678768219185</v>
      </c>
      <c r="Y63" t="s">
        <v>25</v>
      </c>
      <c r="Z63" s="96"/>
      <c r="AA63" s="96"/>
      <c r="AB63" s="96"/>
      <c r="AC63" s="96"/>
      <c r="AH63" s="20">
        <v>44</v>
      </c>
      <c r="AI63" s="117" t="s">
        <v>4094</v>
      </c>
      <c r="AJ63" s="117">
        <v>1000000</v>
      </c>
      <c r="AK63" s="20">
        <v>3</v>
      </c>
      <c r="AL63" s="99">
        <f t="shared" si="10"/>
        <v>371</v>
      </c>
      <c r="AM63" s="113">
        <f t="shared" si="11"/>
        <v>371000000</v>
      </c>
      <c r="AN63" s="20"/>
    </row>
    <row r="64" spans="1:45">
      <c r="E64" s="26"/>
      <c r="K64" s="168" t="s">
        <v>598</v>
      </c>
      <c r="L64" s="113">
        <f>SUM(L16:L48)</f>
        <v>614977753.90835583</v>
      </c>
      <c r="M64" s="168"/>
      <c r="N64" s="113">
        <f>SUM(N16:N63)</f>
        <v>820976402.59491313</v>
      </c>
      <c r="Q64" s="169">
        <v>179841</v>
      </c>
      <c r="R64" s="213" t="s">
        <v>5243</v>
      </c>
      <c r="S64" s="197">
        <f>S63-3</f>
        <v>4</v>
      </c>
      <c r="T64" s="213" t="s">
        <v>5250</v>
      </c>
      <c r="U64" s="213">
        <v>791.2</v>
      </c>
      <c r="V64" s="213">
        <f t="shared" si="17"/>
        <v>805.65403178082215</v>
      </c>
      <c r="W64" s="32">
        <f t="shared" si="18"/>
        <v>821.76711241643864</v>
      </c>
      <c r="X64" s="32">
        <f t="shared" si="19"/>
        <v>837.88019305205512</v>
      </c>
      <c r="Y64" t="s">
        <v>25</v>
      </c>
      <c r="Z64" s="96"/>
      <c r="AA64" s="96"/>
      <c r="AB64" s="96"/>
      <c r="AC64" s="96"/>
      <c r="AH64" s="20">
        <v>45</v>
      </c>
      <c r="AI64" s="117" t="s">
        <v>4106</v>
      </c>
      <c r="AJ64" s="117">
        <v>1300000</v>
      </c>
      <c r="AK64" s="20">
        <v>0</v>
      </c>
      <c r="AL64" s="99">
        <f>AL65+AK64</f>
        <v>368</v>
      </c>
      <c r="AM64" s="113">
        <f t="shared" si="11"/>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 t="shared" si="17"/>
        <v>794.89267726027401</v>
      </c>
      <c r="W65" s="32">
        <f t="shared" si="18"/>
        <v>810.79053080547953</v>
      </c>
      <c r="X65" s="32">
        <f t="shared" si="19"/>
        <v>826.68838435068506</v>
      </c>
      <c r="Y65" t="s">
        <v>25</v>
      </c>
      <c r="Z65" s="96" t="s">
        <v>25</v>
      </c>
      <c r="AA65" s="96"/>
      <c r="AB65" s="96"/>
      <c r="AC65" s="96"/>
      <c r="AH65" s="20">
        <v>45</v>
      </c>
      <c r="AI65" s="117" t="s">
        <v>4106</v>
      </c>
      <c r="AJ65" s="117">
        <v>995000</v>
      </c>
      <c r="AK65" s="20">
        <v>2</v>
      </c>
      <c r="AL65" s="99">
        <f t="shared" ref="AL65:AL92" si="20">AL66+AK65</f>
        <v>368</v>
      </c>
      <c r="AM65" s="113">
        <f t="shared" si="11"/>
        <v>366160000</v>
      </c>
      <c r="AN65" s="20"/>
    </row>
    <row r="66" spans="1:40">
      <c r="K66" s="56" t="s">
        <v>716</v>
      </c>
      <c r="L66" s="1">
        <f>L64+N7</f>
        <v>714977753.90835583</v>
      </c>
      <c r="M66" s="113"/>
      <c r="N66" s="168"/>
      <c r="O66" s="115"/>
      <c r="P66" s="115"/>
      <c r="Q66" s="169">
        <v>1773978</v>
      </c>
      <c r="R66" s="213" t="s">
        <v>5260</v>
      </c>
      <c r="S66" s="197">
        <f>S65-1</f>
        <v>0</v>
      </c>
      <c r="T66" s="213" t="s">
        <v>5264</v>
      </c>
      <c r="U66" s="213">
        <v>766.4</v>
      </c>
      <c r="V66" s="213">
        <f t="shared" si="17"/>
        <v>778.04928000000007</v>
      </c>
      <c r="W66" s="32">
        <f t="shared" si="18"/>
        <v>793.61026560000005</v>
      </c>
      <c r="X66" s="32">
        <f t="shared" si="19"/>
        <v>809.17125120000014</v>
      </c>
      <c r="Y66" t="s">
        <v>25</v>
      </c>
      <c r="Z66" s="96"/>
      <c r="AA66" s="96"/>
      <c r="AB66" s="96"/>
      <c r="AC66" s="96"/>
      <c r="AH66" s="20">
        <v>46</v>
      </c>
      <c r="AI66" s="117" t="s">
        <v>4116</v>
      </c>
      <c r="AJ66" s="117">
        <v>13000000</v>
      </c>
      <c r="AK66" s="20">
        <v>2</v>
      </c>
      <c r="AL66" s="99">
        <f t="shared" si="20"/>
        <v>366</v>
      </c>
      <c r="AM66" s="113">
        <f t="shared" si="11"/>
        <v>4758000000</v>
      </c>
      <c r="AN66" s="20"/>
    </row>
    <row r="67" spans="1:40">
      <c r="A67" t="s">
        <v>25</v>
      </c>
      <c r="F67" t="s">
        <v>310</v>
      </c>
      <c r="G67" t="s">
        <v>4098</v>
      </c>
      <c r="O67" s="96"/>
      <c r="P67" s="96"/>
      <c r="Q67" s="169">
        <v>3289175</v>
      </c>
      <c r="R67" s="213" t="s">
        <v>5260</v>
      </c>
      <c r="S67" s="197">
        <f>S66</f>
        <v>0</v>
      </c>
      <c r="T67" s="213" t="s">
        <v>5265</v>
      </c>
      <c r="U67" s="213">
        <v>4579</v>
      </c>
      <c r="V67" s="213">
        <f t="shared" si="17"/>
        <v>4648.6008000000002</v>
      </c>
      <c r="W67" s="32">
        <f t="shared" si="18"/>
        <v>4741.5728159999999</v>
      </c>
      <c r="X67" s="32">
        <f t="shared" si="19"/>
        <v>4834.5448320000005</v>
      </c>
      <c r="Y67" t="s">
        <v>25</v>
      </c>
      <c r="Z67" s="96"/>
      <c r="AA67" s="96"/>
      <c r="AB67" s="96"/>
      <c r="AC67" s="96"/>
      <c r="AH67" s="20">
        <v>47</v>
      </c>
      <c r="AI67" s="117" t="s">
        <v>4129</v>
      </c>
      <c r="AJ67" s="117">
        <v>-3100000</v>
      </c>
      <c r="AK67" s="20">
        <v>3</v>
      </c>
      <c r="AL67" s="99">
        <f t="shared" si="20"/>
        <v>364</v>
      </c>
      <c r="AM67" s="113">
        <f t="shared" si="11"/>
        <v>-1128400000</v>
      </c>
      <c r="AN67" s="20"/>
    </row>
    <row r="68" spans="1:40">
      <c r="F68" t="s">
        <v>4102</v>
      </c>
      <c r="G68" t="s">
        <v>4097</v>
      </c>
      <c r="K68">
        <v>134410</v>
      </c>
      <c r="M68" s="25"/>
      <c r="O68" t="s">
        <v>25</v>
      </c>
      <c r="Q68" s="169">
        <v>4937080</v>
      </c>
      <c r="R68" s="213" t="s">
        <v>5260</v>
      </c>
      <c r="S68" s="197">
        <f>S67</f>
        <v>0</v>
      </c>
      <c r="T68" s="213" t="s">
        <v>5266</v>
      </c>
      <c r="U68" s="213">
        <v>289.10000000000002</v>
      </c>
      <c r="V68" s="213">
        <f t="shared" si="17"/>
        <v>293.49432000000007</v>
      </c>
      <c r="W68" s="32">
        <f t="shared" si="18"/>
        <v>299.36420640000006</v>
      </c>
      <c r="X68" s="32">
        <f t="shared" si="19"/>
        <v>305.2340928000001</v>
      </c>
      <c r="Y68" t="s">
        <v>25</v>
      </c>
      <c r="Z68" s="96"/>
      <c r="AA68" s="96"/>
      <c r="AB68" s="96"/>
      <c r="AC68" s="96"/>
      <c r="AH68" s="20">
        <v>48</v>
      </c>
      <c r="AI68" s="117" t="s">
        <v>4144</v>
      </c>
      <c r="AJ68" s="117">
        <v>45640000</v>
      </c>
      <c r="AK68" s="20">
        <v>1</v>
      </c>
      <c r="AL68" s="99">
        <f t="shared" si="20"/>
        <v>361</v>
      </c>
      <c r="AM68" s="113">
        <f t="shared" si="11"/>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20"/>
        <v>360</v>
      </c>
      <c r="AM69" s="113">
        <f t="shared" si="11"/>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8"/>
        <v>0</v>
      </c>
      <c r="X70" s="32">
        <f t="shared" si="19"/>
        <v>0</v>
      </c>
      <c r="AH70" s="20">
        <v>50</v>
      </c>
      <c r="AI70" s="117" t="s">
        <v>4155</v>
      </c>
      <c r="AJ70" s="117">
        <v>12000000</v>
      </c>
      <c r="AK70" s="20">
        <v>1</v>
      </c>
      <c r="AL70" s="99">
        <f t="shared" si="20"/>
        <v>359</v>
      </c>
      <c r="AM70" s="117">
        <f t="shared" si="11"/>
        <v>4308000000</v>
      </c>
      <c r="AN70" s="20"/>
    </row>
    <row r="71" spans="1:40">
      <c r="G71" t="s">
        <v>4101</v>
      </c>
      <c r="M71" s="96" t="s">
        <v>4798</v>
      </c>
      <c r="N71" s="96"/>
      <c r="O71" s="96"/>
      <c r="Q71" s="169">
        <f>SUM(N21:N28)-SUM(Q20:Q70)</f>
        <v>107559629.79999995</v>
      </c>
      <c r="R71" s="168"/>
      <c r="S71" s="168" t="s">
        <v>25</v>
      </c>
      <c r="T71" s="168"/>
      <c r="U71" s="168"/>
      <c r="V71" s="168"/>
      <c r="W71" s="32"/>
      <c r="X71" s="32"/>
      <c r="AH71" s="20">
        <v>51</v>
      </c>
      <c r="AI71" s="117" t="s">
        <v>4161</v>
      </c>
      <c r="AJ71" s="117">
        <v>15500000</v>
      </c>
      <c r="AK71" s="20">
        <v>4</v>
      </c>
      <c r="AL71" s="99">
        <f t="shared" si="20"/>
        <v>358</v>
      </c>
      <c r="AM71" s="117">
        <f t="shared" si="11"/>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20"/>
        <v>354</v>
      </c>
      <c r="AM72" s="117">
        <f t="shared" si="11"/>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20"/>
        <v>353</v>
      </c>
      <c r="AM73" s="180">
        <f t="shared" si="11"/>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20"/>
        <v>338</v>
      </c>
      <c r="AM74" s="117">
        <f t="shared" si="11"/>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20"/>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20"/>
        <v>329</v>
      </c>
      <c r="AM76" s="117">
        <f t="shared" si="11"/>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 t="shared" ref="V77:V99" si="21">U77*(1+$R$104+$Q$15*S77/36500)</f>
        <v>229.32276383561646</v>
      </c>
      <c r="W77" s="32">
        <f t="shared" ref="W77:W99" si="22">V77*(1+$W$19/100)</f>
        <v>233.9092191123288</v>
      </c>
      <c r="X77" s="32">
        <f t="shared" ref="X77:X99" si="23">V77*(1+$X$19/100)</f>
        <v>238.49567438904111</v>
      </c>
      <c r="Y77" t="s">
        <v>25</v>
      </c>
      <c r="AA77" t="s">
        <v>25</v>
      </c>
      <c r="AH77" s="20">
        <v>57</v>
      </c>
      <c r="AI77" s="117" t="s">
        <v>4281</v>
      </c>
      <c r="AJ77" s="117">
        <v>-300000</v>
      </c>
      <c r="AK77" s="20">
        <v>3</v>
      </c>
      <c r="AL77" s="99">
        <f t="shared" si="20"/>
        <v>326</v>
      </c>
      <c r="AM77" s="117">
        <f t="shared" si="11"/>
        <v>-97800000</v>
      </c>
      <c r="AN77" s="20"/>
    </row>
    <row r="78" spans="1:40">
      <c r="D78" s="1" t="s">
        <v>321</v>
      </c>
      <c r="E78" s="1">
        <v>100000</v>
      </c>
      <c r="G78" s="47">
        <v>180000</v>
      </c>
      <c r="H78" s="201" t="s">
        <v>558</v>
      </c>
      <c r="K78" t="s">
        <v>4799</v>
      </c>
      <c r="M78" s="96">
        <f>O51+O21+O34-O58</f>
        <v>4973258</v>
      </c>
      <c r="N78" s="113">
        <f>M78*P51</f>
        <v>1410415968.8000002</v>
      </c>
      <c r="P78" s="115"/>
      <c r="Q78" s="169">
        <v>1692313</v>
      </c>
      <c r="R78" s="168" t="s">
        <v>4506</v>
      </c>
      <c r="S78" s="197">
        <f>S77-21</f>
        <v>275</v>
      </c>
      <c r="T78" s="189" t="s">
        <v>4507</v>
      </c>
      <c r="U78" s="168">
        <v>168.5</v>
      </c>
      <c r="V78" s="168">
        <f t="shared" si="21"/>
        <v>206.60777534246574</v>
      </c>
      <c r="W78" s="32">
        <f t="shared" si="22"/>
        <v>210.73993084931507</v>
      </c>
      <c r="X78" s="32">
        <f t="shared" si="23"/>
        <v>214.87208635616437</v>
      </c>
      <c r="AD78" s="115"/>
      <c r="AE78" s="115"/>
      <c r="AH78" s="20">
        <v>58</v>
      </c>
      <c r="AI78" s="117" t="s">
        <v>4290</v>
      </c>
      <c r="AJ78" s="117">
        <v>-11400000</v>
      </c>
      <c r="AK78" s="20">
        <v>13</v>
      </c>
      <c r="AL78" s="99">
        <f t="shared" ref="AL78:AL83" si="24">AL79+AK78</f>
        <v>323</v>
      </c>
      <c r="AM78" s="117">
        <f t="shared" si="11"/>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 t="shared" si="21"/>
        <v>204.27280986301369</v>
      </c>
      <c r="W79" s="32">
        <f t="shared" si="22"/>
        <v>208.35826606027396</v>
      </c>
      <c r="X79" s="32">
        <f t="shared" si="23"/>
        <v>212.44372225753423</v>
      </c>
      <c r="AC79" s="115"/>
      <c r="AD79" s="115"/>
      <c r="AE79" s="115"/>
      <c r="AF79"/>
      <c r="AH79" s="20">
        <v>59</v>
      </c>
      <c r="AI79" s="117" t="s">
        <v>4345</v>
      </c>
      <c r="AJ79" s="117">
        <v>-10000000</v>
      </c>
      <c r="AK79" s="20">
        <v>1</v>
      </c>
      <c r="AL79" s="99">
        <f t="shared" si="24"/>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 t="shared" si="21"/>
        <v>204.02246794520551</v>
      </c>
      <c r="W80" s="32">
        <f t="shared" si="22"/>
        <v>208.10291730410961</v>
      </c>
      <c r="X80" s="32">
        <f t="shared" si="23"/>
        <v>212.18336666301374</v>
      </c>
      <c r="AC80" s="115"/>
      <c r="AD80" s="115"/>
      <c r="AE80" s="115"/>
      <c r="AF80"/>
      <c r="AH80" s="20">
        <v>60</v>
      </c>
      <c r="AI80" s="117" t="s">
        <v>4346</v>
      </c>
      <c r="AJ80" s="117">
        <v>-2450000</v>
      </c>
      <c r="AK80" s="20">
        <v>5</v>
      </c>
      <c r="AL80" s="99">
        <f t="shared" si="24"/>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 t="shared" si="21"/>
        <v>206.91740712328769</v>
      </c>
      <c r="W81" s="32">
        <f t="shared" si="22"/>
        <v>211.05575526575345</v>
      </c>
      <c r="X81" s="32">
        <f t="shared" si="23"/>
        <v>215.19410340821921</v>
      </c>
      <c r="AD81" s="115"/>
      <c r="AE81" s="115"/>
      <c r="AF81" s="115"/>
      <c r="AH81" s="20">
        <v>61</v>
      </c>
      <c r="AI81" s="117" t="s">
        <v>4370</v>
      </c>
      <c r="AJ81" s="117">
        <v>-456081</v>
      </c>
      <c r="AK81" s="20">
        <v>1</v>
      </c>
      <c r="AL81" s="99">
        <f t="shared" si="24"/>
        <v>304</v>
      </c>
      <c r="AM81" s="117">
        <f t="shared" si="11"/>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 t="shared" si="21"/>
        <v>209.36603835616438</v>
      </c>
      <c r="W82" s="32">
        <f t="shared" si="22"/>
        <v>213.55335912328766</v>
      </c>
      <c r="X82" s="32">
        <f t="shared" si="23"/>
        <v>217.74067989041097</v>
      </c>
      <c r="Y82" s="96" t="s">
        <v>25</v>
      </c>
      <c r="Z82" s="115"/>
      <c r="AA82" s="115"/>
      <c r="AB82" s="115"/>
      <c r="AC82" s="115"/>
      <c r="AD82" s="115"/>
      <c r="AE82" s="115"/>
      <c r="AF82" s="115"/>
      <c r="AH82" s="20">
        <v>62</v>
      </c>
      <c r="AI82" s="117" t="s">
        <v>4372</v>
      </c>
      <c r="AJ82" s="117">
        <v>-500000</v>
      </c>
      <c r="AK82" s="20">
        <v>2</v>
      </c>
      <c r="AL82" s="99">
        <f t="shared" si="24"/>
        <v>303</v>
      </c>
      <c r="AM82" s="117">
        <f t="shared" si="11"/>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 t="shared" si="21"/>
        <v>244.28180273972606</v>
      </c>
      <c r="W83" s="32">
        <f t="shared" si="22"/>
        <v>249.16743879452059</v>
      </c>
      <c r="X83" s="32">
        <f t="shared" si="23"/>
        <v>254.05307484931512</v>
      </c>
      <c r="Y83" s="96" t="s">
        <v>25</v>
      </c>
      <c r="Z83" s="115"/>
      <c r="AA83" s="115"/>
      <c r="AB83" s="115"/>
      <c r="AC83" s="128"/>
      <c r="AD83" s="115"/>
      <c r="AE83" s="115"/>
      <c r="AF83" s="115"/>
      <c r="AH83" s="20">
        <v>63</v>
      </c>
      <c r="AI83" s="117" t="s">
        <v>4390</v>
      </c>
      <c r="AJ83" s="117">
        <v>-6234370</v>
      </c>
      <c r="AK83" s="20">
        <v>3</v>
      </c>
      <c r="AL83" s="99">
        <f t="shared" si="24"/>
        <v>301</v>
      </c>
      <c r="AM83" s="117">
        <f t="shared" si="11"/>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 t="shared" si="21"/>
        <v>216.9423715068493</v>
      </c>
      <c r="W84" s="32">
        <f t="shared" si="22"/>
        <v>221.28121893698628</v>
      </c>
      <c r="X84" s="32">
        <f t="shared" si="23"/>
        <v>225.62006636712329</v>
      </c>
      <c r="Y84" s="96" t="s">
        <v>25</v>
      </c>
      <c r="Z84" s="115" t="s">
        <v>25</v>
      </c>
      <c r="AA84" s="115"/>
      <c r="AB84" s="115"/>
      <c r="AC84" s="128"/>
      <c r="AD84" s="115"/>
      <c r="AE84" s="115"/>
      <c r="AF84" s="115"/>
      <c r="AH84" s="20">
        <v>64</v>
      </c>
      <c r="AI84" s="117" t="s">
        <v>4400</v>
      </c>
      <c r="AJ84" s="117">
        <v>1950957</v>
      </c>
      <c r="AK84" s="20">
        <v>4</v>
      </c>
      <c r="AL84" s="99">
        <f t="shared" si="20"/>
        <v>298</v>
      </c>
      <c r="AM84" s="117">
        <f t="shared" si="11"/>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 t="shared" si="21"/>
        <v>219.54352438356167</v>
      </c>
      <c r="W85" s="32">
        <f t="shared" si="22"/>
        <v>223.93439487123291</v>
      </c>
      <c r="X85" s="32">
        <f t="shared" si="23"/>
        <v>228.32526535890415</v>
      </c>
      <c r="Y85" s="96" t="s">
        <v>25</v>
      </c>
      <c r="Z85" s="115"/>
      <c r="AA85" s="115"/>
      <c r="AB85" s="115"/>
      <c r="AC85" s="128"/>
      <c r="AD85" s="115"/>
      <c r="AE85" s="115"/>
      <c r="AF85" s="115"/>
      <c r="AH85" s="20">
        <v>65</v>
      </c>
      <c r="AI85" s="117" t="s">
        <v>4425</v>
      </c>
      <c r="AJ85" s="117">
        <v>600000</v>
      </c>
      <c r="AK85" s="20">
        <v>5</v>
      </c>
      <c r="AL85" s="99">
        <f t="shared" si="20"/>
        <v>294</v>
      </c>
      <c r="AM85" s="117">
        <f t="shared" si="11"/>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 t="shared" si="21"/>
        <v>218.75475616438359</v>
      </c>
      <c r="W86" s="32">
        <f t="shared" si="22"/>
        <v>223.12985128767127</v>
      </c>
      <c r="X86" s="32">
        <f t="shared" si="23"/>
        <v>227.50494641095895</v>
      </c>
      <c r="Y86" s="96"/>
      <c r="Z86" s="115"/>
      <c r="AA86" s="115"/>
      <c r="AB86" s="115"/>
      <c r="AC86" s="128"/>
      <c r="AD86" s="115"/>
      <c r="AE86" s="115"/>
      <c r="AF86" s="115"/>
      <c r="AH86" s="20">
        <v>66</v>
      </c>
      <c r="AI86" s="117" t="s">
        <v>4433</v>
      </c>
      <c r="AJ86" s="117">
        <v>7500000</v>
      </c>
      <c r="AK86" s="20">
        <v>2</v>
      </c>
      <c r="AL86" s="99">
        <f t="shared" si="20"/>
        <v>289</v>
      </c>
      <c r="AM86" s="117">
        <f t="shared" si="11"/>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 t="shared" si="21"/>
        <v>217.92219178082192</v>
      </c>
      <c r="W87" s="32">
        <f t="shared" si="22"/>
        <v>222.28063561643836</v>
      </c>
      <c r="X87" s="32">
        <f t="shared" si="23"/>
        <v>226.6390794520548</v>
      </c>
      <c r="Y87" s="122" t="s">
        <v>25</v>
      </c>
      <c r="Z87" s="115"/>
      <c r="AA87" s="115"/>
      <c r="AB87" s="115"/>
      <c r="AC87" s="128"/>
      <c r="AD87" s="115"/>
      <c r="AE87" s="115"/>
      <c r="AF87" s="115"/>
      <c r="AH87" s="20">
        <v>67</v>
      </c>
      <c r="AI87" s="117" t="s">
        <v>4438</v>
      </c>
      <c r="AJ87" s="117">
        <v>-587816</v>
      </c>
      <c r="AK87" s="20">
        <v>3</v>
      </c>
      <c r="AL87" s="99">
        <f t="shared" si="20"/>
        <v>287</v>
      </c>
      <c r="AM87" s="117">
        <f t="shared" si="11"/>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 t="shared" si="21"/>
        <v>228.61300821917811</v>
      </c>
      <c r="W88" s="32">
        <f t="shared" si="22"/>
        <v>233.18526838356169</v>
      </c>
      <c r="X88" s="32">
        <f t="shared" si="23"/>
        <v>237.75752854794524</v>
      </c>
      <c r="Z88" s="115"/>
      <c r="AA88" s="115"/>
      <c r="AB88" s="115"/>
      <c r="AC88" s="128"/>
      <c r="AD88" s="115"/>
      <c r="AE88" s="115"/>
      <c r="AF88" s="115"/>
      <c r="AH88" s="20">
        <v>68</v>
      </c>
      <c r="AI88" s="117" t="s">
        <v>4437</v>
      </c>
      <c r="AJ88" s="117">
        <v>-907489</v>
      </c>
      <c r="AK88" s="20">
        <v>0</v>
      </c>
      <c r="AL88" s="99">
        <f>AL89+AK88</f>
        <v>284</v>
      </c>
      <c r="AM88" s="117">
        <f t="shared" si="11"/>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 t="shared" si="21"/>
        <v>230.12323397260278</v>
      </c>
      <c r="W89" s="32">
        <f t="shared" si="22"/>
        <v>234.72569865205483</v>
      </c>
      <c r="X89" s="32">
        <f t="shared" si="23"/>
        <v>239.32816333150689</v>
      </c>
      <c r="Z89" s="115"/>
      <c r="AA89" s="115"/>
      <c r="AB89" s="115"/>
      <c r="AC89" s="115"/>
      <c r="AD89" s="115"/>
      <c r="AE89" s="115"/>
      <c r="AF89" s="115"/>
      <c r="AG89" s="115"/>
      <c r="AH89" s="20">
        <v>69</v>
      </c>
      <c r="AI89" s="117" t="s">
        <v>4437</v>
      </c>
      <c r="AJ89" s="117">
        <v>2450000</v>
      </c>
      <c r="AK89" s="20">
        <v>1</v>
      </c>
      <c r="AL89" s="99">
        <f t="shared" si="20"/>
        <v>284</v>
      </c>
      <c r="AM89" s="117">
        <f t="shared" si="11"/>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 t="shared" si="21"/>
        <v>886.72426630136999</v>
      </c>
      <c r="W90" s="32">
        <f t="shared" si="22"/>
        <v>904.45875162739742</v>
      </c>
      <c r="X90" s="32">
        <f t="shared" si="23"/>
        <v>922.19323695342484</v>
      </c>
      <c r="Z90" s="115"/>
      <c r="AA90" s="115"/>
      <c r="AB90" s="115"/>
      <c r="AC90" s="115"/>
      <c r="AD90" s="115"/>
      <c r="AE90"/>
      <c r="AG90" s="115"/>
      <c r="AH90" s="20">
        <v>70</v>
      </c>
      <c r="AI90" s="117" t="s">
        <v>4478</v>
      </c>
      <c r="AJ90" s="117">
        <v>1500000</v>
      </c>
      <c r="AK90" s="20">
        <v>1</v>
      </c>
      <c r="AL90" s="99">
        <f t="shared" si="20"/>
        <v>283</v>
      </c>
      <c r="AM90" s="117">
        <f t="shared" si="11"/>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 t="shared" si="21"/>
        <v>735.53488986301375</v>
      </c>
      <c r="W91" s="32">
        <f t="shared" si="22"/>
        <v>750.24558766027405</v>
      </c>
      <c r="X91" s="32">
        <f t="shared" si="23"/>
        <v>764.95628545753436</v>
      </c>
      <c r="Z91" s="115"/>
      <c r="AA91" s="115"/>
      <c r="AE91"/>
      <c r="AG91" s="96"/>
      <c r="AH91" s="20">
        <v>71</v>
      </c>
      <c r="AI91" s="117" t="s">
        <v>4484</v>
      </c>
      <c r="AJ91" s="117">
        <v>2648000</v>
      </c>
      <c r="AK91" s="20">
        <v>1</v>
      </c>
      <c r="AL91" s="99">
        <f t="shared" si="20"/>
        <v>282</v>
      </c>
      <c r="AM91" s="117">
        <f t="shared" si="11"/>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 t="shared" si="21"/>
        <v>249.96153863013697</v>
      </c>
      <c r="W92" s="32">
        <f t="shared" si="22"/>
        <v>254.96076940273971</v>
      </c>
      <c r="X92" s="32">
        <f t="shared" si="23"/>
        <v>259.96000017534249</v>
      </c>
      <c r="Z92" s="115"/>
      <c r="AA92" s="115"/>
      <c r="AE92"/>
      <c r="AG92" s="96"/>
      <c r="AH92" s="20">
        <v>72</v>
      </c>
      <c r="AI92" s="117" t="s">
        <v>4230</v>
      </c>
      <c r="AJ92" s="117">
        <v>615000</v>
      </c>
      <c r="AK92" s="20">
        <v>4</v>
      </c>
      <c r="AL92" s="99">
        <f t="shared" si="20"/>
        <v>281</v>
      </c>
      <c r="AM92" s="117">
        <f t="shared" si="11"/>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 t="shared" si="21"/>
        <v>238.94876712328769</v>
      </c>
      <c r="W93" s="32">
        <f t="shared" si="22"/>
        <v>243.72774246575347</v>
      </c>
      <c r="X93" s="32">
        <f t="shared" si="23"/>
        <v>248.50671780821921</v>
      </c>
      <c r="Z93" s="115"/>
      <c r="AA93" s="115"/>
      <c r="AE93"/>
      <c r="AG93" s="96"/>
      <c r="AH93" s="20">
        <v>73</v>
      </c>
      <c r="AI93" s="117" t="s">
        <v>4495</v>
      </c>
      <c r="AJ93" s="117">
        <v>14000000</v>
      </c>
      <c r="AK93" s="20">
        <v>2</v>
      </c>
      <c r="AL93" s="99">
        <f>AL94+AK93</f>
        <v>277</v>
      </c>
      <c r="AM93" s="117">
        <f t="shared" si="11"/>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 t="shared" si="21"/>
        <v>246.84149260273975</v>
      </c>
      <c r="W94" s="32">
        <f t="shared" si="22"/>
        <v>251.77832245479453</v>
      </c>
      <c r="X94" s="32">
        <f t="shared" si="23"/>
        <v>256.71515230684935</v>
      </c>
      <c r="Y94">
        <v>961521</v>
      </c>
      <c r="AH94" s="20">
        <v>74</v>
      </c>
      <c r="AI94" s="117" t="s">
        <v>4499</v>
      </c>
      <c r="AJ94" s="117">
        <v>1313000</v>
      </c>
      <c r="AK94" s="20">
        <v>0</v>
      </c>
      <c r="AL94" s="99">
        <f>AL95+AK94</f>
        <v>275</v>
      </c>
      <c r="AM94" s="117">
        <f t="shared" si="11"/>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 t="shared" si="21"/>
        <v>743.23713972602752</v>
      </c>
      <c r="W95" s="32">
        <f t="shared" si="22"/>
        <v>758.10188252054809</v>
      </c>
      <c r="X95" s="32">
        <f t="shared" si="23"/>
        <v>772.96662531506865</v>
      </c>
      <c r="Y95">
        <v>44349</v>
      </c>
      <c r="AH95" s="99">
        <v>75</v>
      </c>
      <c r="AI95" s="113" t="s">
        <v>4499</v>
      </c>
      <c r="AJ95" s="113">
        <v>2269000</v>
      </c>
      <c r="AK95" s="99">
        <v>1</v>
      </c>
      <c r="AL95" s="99">
        <f t="shared" ref="AL95:AL120" si="25">AL96+AK95</f>
        <v>275</v>
      </c>
      <c r="AM95" s="117">
        <f t="shared" si="11"/>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 t="shared" si="21"/>
        <v>4421.5035156164377</v>
      </c>
      <c r="W96" s="32">
        <f t="shared" si="22"/>
        <v>4509.9335859287667</v>
      </c>
      <c r="X96" s="32">
        <f t="shared" si="23"/>
        <v>4598.3636562410957</v>
      </c>
      <c r="Y96">
        <v>9625</v>
      </c>
      <c r="AH96" s="99">
        <v>76</v>
      </c>
      <c r="AI96" s="113" t="s">
        <v>4231</v>
      </c>
      <c r="AJ96" s="113">
        <v>750000</v>
      </c>
      <c r="AK96" s="99">
        <v>4</v>
      </c>
      <c r="AL96" s="99">
        <f t="shared" si="25"/>
        <v>274</v>
      </c>
      <c r="AM96" s="117">
        <f t="shared" si="11"/>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 t="shared" si="21"/>
        <v>808.67430136986309</v>
      </c>
      <c r="W97" s="32">
        <f t="shared" si="22"/>
        <v>824.84778739726039</v>
      </c>
      <c r="X97" s="32">
        <f t="shared" si="23"/>
        <v>841.02127342465769</v>
      </c>
      <c r="Y97">
        <v>6980</v>
      </c>
      <c r="AH97" s="99">
        <v>77</v>
      </c>
      <c r="AI97" s="113" t="s">
        <v>4506</v>
      </c>
      <c r="AJ97" s="113">
        <v>1900000</v>
      </c>
      <c r="AK97" s="99">
        <v>3</v>
      </c>
      <c r="AL97" s="99">
        <f t="shared" si="25"/>
        <v>270</v>
      </c>
      <c r="AM97" s="117">
        <f t="shared" si="11"/>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 t="shared" si="21"/>
        <v>4408.0904328767128</v>
      </c>
      <c r="W98" s="32">
        <f t="shared" si="22"/>
        <v>4496.2522415342473</v>
      </c>
      <c r="X98" s="32">
        <f t="shared" si="23"/>
        <v>4584.4140501917818</v>
      </c>
      <c r="Y98">
        <v>6963</v>
      </c>
      <c r="AH98" s="99">
        <v>78</v>
      </c>
      <c r="AI98" s="113" t="s">
        <v>4519</v>
      </c>
      <c r="AJ98" s="113">
        <v>6400000</v>
      </c>
      <c r="AK98" s="99">
        <v>1</v>
      </c>
      <c r="AL98" s="99">
        <f t="shared" si="25"/>
        <v>267</v>
      </c>
      <c r="AM98" s="117">
        <f t="shared" si="11"/>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 t="shared" si="21"/>
        <v>0</v>
      </c>
      <c r="W99" s="32">
        <f t="shared" si="22"/>
        <v>0</v>
      </c>
      <c r="X99" s="32">
        <f t="shared" si="23"/>
        <v>0</v>
      </c>
      <c r="Y99" s="96">
        <v>0</v>
      </c>
      <c r="AH99" s="99">
        <v>79</v>
      </c>
      <c r="AI99" s="113" t="s">
        <v>4517</v>
      </c>
      <c r="AJ99" s="113">
        <v>5000</v>
      </c>
      <c r="AK99" s="99">
        <v>5</v>
      </c>
      <c r="AL99" s="99">
        <f t="shared" si="25"/>
        <v>266</v>
      </c>
      <c r="AM99" s="117">
        <f t="shared" si="11"/>
        <v>1330000</v>
      </c>
      <c r="AN99" s="99"/>
      <c r="AP99" t="s">
        <v>25</v>
      </c>
    </row>
    <row r="100" spans="4:47">
      <c r="D100" s="2" t="s">
        <v>6</v>
      </c>
      <c r="E100" s="3">
        <f>SUM(E77:E98)</f>
        <v>3383333</v>
      </c>
      <c r="F100" s="96"/>
      <c r="G100" s="96"/>
      <c r="H100" s="96"/>
      <c r="I100" s="96"/>
      <c r="J100" s="96"/>
      <c r="K100" s="96" t="s">
        <v>25</v>
      </c>
      <c r="L100" s="96"/>
      <c r="M100" s="96"/>
      <c r="N100" s="96"/>
      <c r="Q100" s="113">
        <f>SUM(N31:N34)-SUM(Q76:Q99)</f>
        <v>30104824.200000003</v>
      </c>
      <c r="R100" s="168"/>
      <c r="S100" s="168"/>
      <c r="T100" s="168"/>
      <c r="U100" s="168"/>
      <c r="V100" s="168"/>
      <c r="W100" s="32"/>
      <c r="X100" s="32"/>
      <c r="Y100" s="96">
        <v>9904</v>
      </c>
      <c r="AH100" s="99">
        <v>80</v>
      </c>
      <c r="AI100" s="113" t="s">
        <v>4549</v>
      </c>
      <c r="AJ100" s="113">
        <v>-1750148</v>
      </c>
      <c r="AK100" s="99">
        <v>1</v>
      </c>
      <c r="AL100" s="99">
        <f t="shared" si="25"/>
        <v>261</v>
      </c>
      <c r="AM100" s="117">
        <f t="shared" si="11"/>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5"/>
        <v>260</v>
      </c>
      <c r="AM101" s="117">
        <f t="shared" si="11"/>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5"/>
        <v>260</v>
      </c>
      <c r="AM102" s="117">
        <f t="shared" si="11"/>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5"/>
        <v>259</v>
      </c>
      <c r="AM103" s="117">
        <f t="shared" si="11"/>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5"/>
        <v>259</v>
      </c>
      <c r="AM104" s="117">
        <f t="shared" si="11"/>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5"/>
        <v>256</v>
      </c>
      <c r="AM105" s="117">
        <f t="shared" si="11"/>
        <v>-1016257024</v>
      </c>
      <c r="AN105" s="99"/>
    </row>
    <row r="106" spans="4:47" ht="30">
      <c r="F106" s="199">
        <f>$L$114/G106</f>
        <v>14245.416078984485</v>
      </c>
      <c r="G106" s="199">
        <f>P51</f>
        <v>283.60000000000002</v>
      </c>
      <c r="H106" s="199" t="s">
        <v>4782</v>
      </c>
      <c r="I106" s="199" t="s">
        <v>4781</v>
      </c>
      <c r="J106" s="214" t="s">
        <v>4241</v>
      </c>
      <c r="K106" s="199">
        <v>175</v>
      </c>
      <c r="L106" s="215">
        <f t="shared" ref="L106:L111" si="26">K106*$L$114</f>
        <v>707000000</v>
      </c>
      <c r="M106" s="215">
        <f>N21+N34+N51</f>
        <v>1410415968.8000002</v>
      </c>
      <c r="N106" s="183">
        <f t="shared" ref="N106:N110" si="27">L106-M106</f>
        <v>-703415968.80000019</v>
      </c>
      <c r="Q106" s="73" t="s">
        <v>4293</v>
      </c>
      <c r="R106" s="112"/>
      <c r="S106" s="112"/>
      <c r="T106" s="112"/>
      <c r="U106" s="168" t="s">
        <v>4361</v>
      </c>
      <c r="V106" s="36" t="s">
        <v>4363</v>
      </c>
      <c r="W106" s="32"/>
      <c r="X106" s="32"/>
      <c r="Y106" s="96">
        <v>8695</v>
      </c>
      <c r="AH106" s="99">
        <v>86</v>
      </c>
      <c r="AI106" s="113" t="s">
        <v>4567</v>
      </c>
      <c r="AJ106" s="113">
        <v>-25574455</v>
      </c>
      <c r="AK106" s="99">
        <v>0</v>
      </c>
      <c r="AL106" s="99">
        <f t="shared" si="25"/>
        <v>255</v>
      </c>
      <c r="AM106" s="117">
        <f t="shared" si="11"/>
        <v>-6521486025</v>
      </c>
      <c r="AN106" s="99"/>
      <c r="AP106" t="s">
        <v>25</v>
      </c>
    </row>
    <row r="107" spans="4:47">
      <c r="F107" s="213">
        <v>0</v>
      </c>
      <c r="G107" s="213">
        <v>0</v>
      </c>
      <c r="H107" s="213" t="s">
        <v>4957</v>
      </c>
      <c r="I107" s="213" t="s">
        <v>4958</v>
      </c>
      <c r="J107" s="32" t="s">
        <v>4392</v>
      </c>
      <c r="K107" s="213">
        <v>0</v>
      </c>
      <c r="L107" s="1">
        <f t="shared" si="26"/>
        <v>0</v>
      </c>
      <c r="M107" s="1">
        <f>0</f>
        <v>0</v>
      </c>
      <c r="N107" s="113">
        <f t="shared" si="27"/>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5"/>
        <v>255</v>
      </c>
      <c r="AM107" s="117">
        <f t="shared" si="11"/>
        <v>1020000000</v>
      </c>
      <c r="AN107" s="99"/>
    </row>
    <row r="108" spans="4:47">
      <c r="F108" s="199">
        <v>0</v>
      </c>
      <c r="G108" s="199">
        <v>0</v>
      </c>
      <c r="H108" s="199" t="s">
        <v>5116</v>
      </c>
      <c r="I108" s="199" t="s">
        <v>5115</v>
      </c>
      <c r="J108" s="214" t="s">
        <v>4388</v>
      </c>
      <c r="K108" s="199">
        <v>0</v>
      </c>
      <c r="L108" s="215">
        <f t="shared" si="26"/>
        <v>0</v>
      </c>
      <c r="M108" s="215">
        <f>0</f>
        <v>0</v>
      </c>
      <c r="N108" s="183">
        <f t="shared" si="27"/>
        <v>0</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5"/>
        <v>254</v>
      </c>
      <c r="AM108" s="117">
        <f t="shared" si="11"/>
        <v>-1270000000</v>
      </c>
      <c r="AN108" s="99"/>
    </row>
    <row r="109" spans="4:47">
      <c r="F109" s="213">
        <f>$L$114/G109</f>
        <v>5301.8372703412069</v>
      </c>
      <c r="G109" s="213">
        <f>P48</f>
        <v>762</v>
      </c>
      <c r="H109" s="213" t="s">
        <v>4674</v>
      </c>
      <c r="I109" s="213" t="s">
        <v>4673</v>
      </c>
      <c r="J109" s="32" t="s">
        <v>4406</v>
      </c>
      <c r="K109" s="213">
        <v>43</v>
      </c>
      <c r="L109" s="1">
        <f t="shared" si="26"/>
        <v>173720000</v>
      </c>
      <c r="M109" s="1">
        <f>N48+N28</f>
        <v>191076834</v>
      </c>
      <c r="N109" s="113">
        <f t="shared" si="27"/>
        <v>-17356834</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5"/>
        <v>252</v>
      </c>
      <c r="AM109" s="117">
        <f t="shared" si="11"/>
        <v>2520000000</v>
      </c>
      <c r="AN109" s="99"/>
    </row>
    <row r="110" spans="4:47">
      <c r="F110" s="199"/>
      <c r="G110" s="199"/>
      <c r="H110" s="199"/>
      <c r="I110" s="199"/>
      <c r="J110" s="214" t="s">
        <v>4650</v>
      </c>
      <c r="K110" s="199">
        <v>1</v>
      </c>
      <c r="L110" s="215">
        <f t="shared" si="26"/>
        <v>4040000</v>
      </c>
      <c r="M110" s="215">
        <f>0</f>
        <v>0</v>
      </c>
      <c r="N110" s="183">
        <f t="shared" si="27"/>
        <v>4040000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5"/>
        <v>248</v>
      </c>
      <c r="AM110" s="117">
        <f t="shared" si="11"/>
        <v>-1300000376</v>
      </c>
      <c r="AN110" s="99"/>
    </row>
    <row r="111" spans="4:47">
      <c r="F111" s="191"/>
      <c r="G111" s="191"/>
      <c r="H111" s="191"/>
      <c r="I111" s="191"/>
      <c r="J111" s="258" t="s">
        <v>5253</v>
      </c>
      <c r="K111" s="191">
        <v>170</v>
      </c>
      <c r="L111" s="259">
        <f t="shared" si="26"/>
        <v>686800000</v>
      </c>
      <c r="M111" s="259">
        <v>0</v>
      </c>
      <c r="N111" s="86">
        <f>L111-M111</f>
        <v>686800000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5"/>
        <v>248</v>
      </c>
      <c r="AM111" s="117">
        <f t="shared" si="11"/>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5"/>
        <v>246</v>
      </c>
      <c r="AM112" s="117">
        <f t="shared" si="11"/>
        <v>-3690000000</v>
      </c>
      <c r="AN112" s="99"/>
      <c r="AO112" t="s">
        <v>25</v>
      </c>
    </row>
    <row r="113" spans="6:46">
      <c r="F113" s="199"/>
      <c r="G113" s="199"/>
      <c r="H113" s="199"/>
      <c r="I113" s="199"/>
      <c r="J113" s="214" t="s">
        <v>5146</v>
      </c>
      <c r="K113" s="199">
        <f>SUM(K106:K111)</f>
        <v>389</v>
      </c>
      <c r="L113" s="215"/>
      <c r="M113" s="215"/>
      <c r="N113" s="183"/>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5"/>
        <v>246</v>
      </c>
      <c r="AM113" s="117">
        <f t="shared" si="11"/>
        <v>738000000</v>
      </c>
      <c r="AN113" s="99"/>
    </row>
    <row r="114" spans="6:46">
      <c r="F114" s="213"/>
      <c r="G114" s="213"/>
      <c r="H114" s="213" t="s">
        <v>25</v>
      </c>
      <c r="I114" s="213"/>
      <c r="J114" s="32"/>
      <c r="K114" s="213">
        <v>0</v>
      </c>
      <c r="L114" s="39">
        <f>10*P53</f>
        <v>4040000</v>
      </c>
      <c r="M114" s="1">
        <f>K114*L114</f>
        <v>0</v>
      </c>
      <c r="N114" s="113">
        <f>SUM(N106:N112)-M114</f>
        <v>67197.199999809265</v>
      </c>
      <c r="P114" s="114"/>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5"/>
        <v>245</v>
      </c>
      <c r="AM114" s="117">
        <f t="shared" si="11"/>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5"/>
        <v>245</v>
      </c>
      <c r="AM115" s="117">
        <f t="shared" si="11"/>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5"/>
        <v>242</v>
      </c>
      <c r="AM116" s="117">
        <f t="shared" si="11"/>
        <v>968000000</v>
      </c>
      <c r="AN116" s="99"/>
    </row>
    <row r="117" spans="6:46">
      <c r="M117" t="s">
        <v>25</v>
      </c>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5"/>
        <v>241</v>
      </c>
      <c r="AM117" s="117">
        <f t="shared" si="11"/>
        <v>-2169000000</v>
      </c>
      <c r="AN117" s="99"/>
      <c r="AP117" t="s">
        <v>25</v>
      </c>
    </row>
    <row r="118" spans="6:46">
      <c r="P118" s="114"/>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5"/>
        <v>241</v>
      </c>
      <c r="AM118" s="117">
        <f t="shared" si="11"/>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5"/>
        <v>239</v>
      </c>
      <c r="AM119" s="117">
        <f t="shared" si="11"/>
        <v>-1942490903</v>
      </c>
      <c r="AN119" s="99"/>
      <c r="AO119" t="s">
        <v>25</v>
      </c>
      <c r="AQ119" t="s">
        <v>25</v>
      </c>
    </row>
    <row r="120" spans="6:46">
      <c r="H120" s="114"/>
      <c r="K120" s="168" t="s">
        <v>4241</v>
      </c>
      <c r="L120" s="169">
        <v>1100000</v>
      </c>
      <c r="M120" s="169">
        <v>1637000</v>
      </c>
      <c r="N120" s="168">
        <f t="shared" ref="N120:N128" si="31">(M120-L120)*100/L120</f>
        <v>48.81818181818182</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5"/>
        <v>238</v>
      </c>
      <c r="AM120" s="117">
        <f t="shared" si="11"/>
        <v>3758626662</v>
      </c>
      <c r="AN120" s="99"/>
      <c r="AO120" t="s">
        <v>25</v>
      </c>
      <c r="AP120" t="s">
        <v>25</v>
      </c>
    </row>
    <row r="121" spans="6:46">
      <c r="F121" s="96"/>
      <c r="G121" s="213"/>
      <c r="H121" s="213" t="s">
        <v>5168</v>
      </c>
      <c r="I121" s="213" t="s">
        <v>5268</v>
      </c>
      <c r="J121" s="1">
        <v>12404873</v>
      </c>
      <c r="K121" s="5" t="s">
        <v>4529</v>
      </c>
      <c r="L121" s="169">
        <v>1100000</v>
      </c>
      <c r="M121" s="169">
        <v>4748000</v>
      </c>
      <c r="N121" s="168">
        <f t="shared" si="31"/>
        <v>331.63636363636363</v>
      </c>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2">AL122+AK121</f>
        <v>235</v>
      </c>
      <c r="AM121" s="117">
        <f t="shared" ref="AM121:AM144" si="33">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31"/>
        <v>367</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2"/>
        <v>235</v>
      </c>
      <c r="AM122" s="79">
        <f t="shared" si="33"/>
        <v>3071828820</v>
      </c>
      <c r="AN122" s="205" t="s">
        <v>4615</v>
      </c>
    </row>
    <row r="123" spans="6:46">
      <c r="F123" s="96"/>
      <c r="G123" s="1">
        <f>P51</f>
        <v>283.60000000000002</v>
      </c>
      <c r="H123" s="213" t="s">
        <v>4241</v>
      </c>
      <c r="I123" s="213">
        <v>137827</v>
      </c>
      <c r="J123" s="1">
        <f>I123*G123</f>
        <v>39087737.200000003</v>
      </c>
      <c r="K123" s="19" t="s">
        <v>4388</v>
      </c>
      <c r="L123" s="169">
        <v>1100000</v>
      </c>
      <c r="M123" s="169">
        <v>4300000</v>
      </c>
      <c r="N123" s="168">
        <f t="shared" si="31"/>
        <v>290.90909090909093</v>
      </c>
      <c r="P123" s="114"/>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2"/>
        <v>234</v>
      </c>
      <c r="AM123" s="90">
        <f t="shared" si="33"/>
        <v>3914126658</v>
      </c>
      <c r="AN123" s="89" t="s">
        <v>4625</v>
      </c>
    </row>
    <row r="124" spans="6:46">
      <c r="F124" s="96"/>
      <c r="G124" s="1">
        <f>P48</f>
        <v>762</v>
      </c>
      <c r="H124" s="213" t="s">
        <v>4406</v>
      </c>
      <c r="I124" s="213">
        <v>1205</v>
      </c>
      <c r="J124" s="1">
        <f t="shared" ref="J124" si="34">I124*G124</f>
        <v>918210</v>
      </c>
      <c r="K124" s="5" t="s">
        <v>4406</v>
      </c>
      <c r="L124" s="169">
        <v>1100000</v>
      </c>
      <c r="M124" s="169">
        <v>3191000</v>
      </c>
      <c r="N124" s="168">
        <f t="shared" si="31"/>
        <v>190.09090909090909</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2"/>
        <v>234</v>
      </c>
      <c r="AM124" s="117">
        <f t="shared" si="33"/>
        <v>2808000000</v>
      </c>
      <c r="AN124" s="99" t="s">
        <v>4626</v>
      </c>
    </row>
    <row r="125" spans="6:46">
      <c r="F125" s="96"/>
      <c r="G125" s="1"/>
      <c r="H125" s="213" t="s">
        <v>25</v>
      </c>
      <c r="I125" s="213"/>
      <c r="J125" s="1"/>
      <c r="K125" s="5" t="s">
        <v>4531</v>
      </c>
      <c r="L125" s="169">
        <v>1100000</v>
      </c>
      <c r="M125" s="169">
        <v>5623000</v>
      </c>
      <c r="N125" s="168">
        <f t="shared" si="31"/>
        <v>411.18181818181819</v>
      </c>
      <c r="Q125" s="35">
        <v>40048573</v>
      </c>
      <c r="R125" s="5" t="s">
        <v>4624</v>
      </c>
      <c r="S125" s="5">
        <f>S124-3</f>
        <v>237</v>
      </c>
      <c r="T125" s="5" t="s">
        <v>4628</v>
      </c>
      <c r="U125" s="168">
        <v>498.9</v>
      </c>
      <c r="V125" s="99">
        <f t="shared" si="28"/>
        <v>597.18740054794523</v>
      </c>
      <c r="W125" s="32">
        <f t="shared" ref="W125:W161" si="35">V125*(1+$W$19/100)</f>
        <v>609.1311485589041</v>
      </c>
      <c r="X125" s="32">
        <f t="shared" ref="X125:X161" si="36">V125*(1+$X$19/100)</f>
        <v>621.07489656986309</v>
      </c>
      <c r="AH125" s="89">
        <v>105</v>
      </c>
      <c r="AI125" s="90" t="s">
        <v>4545</v>
      </c>
      <c r="AJ125" s="90">
        <v>88697667</v>
      </c>
      <c r="AK125" s="89">
        <v>1</v>
      </c>
      <c r="AL125" s="89">
        <f t="shared" si="32"/>
        <v>233</v>
      </c>
      <c r="AM125" s="90">
        <f t="shared" si="33"/>
        <v>20666556411</v>
      </c>
      <c r="AN125" s="89" t="s">
        <v>4627</v>
      </c>
      <c r="AP125" t="s">
        <v>25</v>
      </c>
    </row>
    <row r="126" spans="6:46">
      <c r="F126" s="96"/>
      <c r="G126" s="213"/>
      <c r="H126" s="213"/>
      <c r="I126" s="113">
        <f>J126-J121</f>
        <v>27601074.200000003</v>
      </c>
      <c r="J126" s="1">
        <f>SUM(J123:J124)</f>
        <v>40005947.200000003</v>
      </c>
      <c r="K126" s="19" t="s">
        <v>4392</v>
      </c>
      <c r="L126" s="169">
        <v>1100000</v>
      </c>
      <c r="M126" s="169">
        <v>7728000</v>
      </c>
      <c r="N126" s="168">
        <f t="shared" si="31"/>
        <v>602.5454545454545</v>
      </c>
      <c r="Q126" s="35">
        <v>559461</v>
      </c>
      <c r="R126" s="5" t="s">
        <v>4662</v>
      </c>
      <c r="S126" s="5">
        <f>S125-7</f>
        <v>230</v>
      </c>
      <c r="T126" s="5" t="s">
        <v>4669</v>
      </c>
      <c r="U126" s="210">
        <v>508.1</v>
      </c>
      <c r="V126" s="99">
        <f t="shared" si="28"/>
        <v>605.47144876712343</v>
      </c>
      <c r="W126" s="32">
        <f t="shared" si="35"/>
        <v>617.58087774246587</v>
      </c>
      <c r="X126" s="32">
        <f t="shared" si="36"/>
        <v>629.69030671780843</v>
      </c>
      <c r="Y126" t="s">
        <v>25</v>
      </c>
      <c r="AH126" s="99">
        <v>106</v>
      </c>
      <c r="AI126" s="113" t="s">
        <v>4548</v>
      </c>
      <c r="AJ126" s="113">
        <v>101000</v>
      </c>
      <c r="AK126" s="99">
        <v>0</v>
      </c>
      <c r="AL126" s="99">
        <f>AL127+AK126</f>
        <v>232</v>
      </c>
      <c r="AM126" s="117">
        <f t="shared" si="33"/>
        <v>23432000</v>
      </c>
      <c r="AN126" s="99"/>
      <c r="AQ126" t="s">
        <v>25</v>
      </c>
    </row>
    <row r="127" spans="6:46">
      <c r="F127" s="96"/>
      <c r="G127" s="213"/>
      <c r="H127" s="213"/>
      <c r="I127" s="213" t="s">
        <v>916</v>
      </c>
      <c r="J127" s="213" t="s">
        <v>6</v>
      </c>
      <c r="K127" s="5" t="s">
        <v>4533</v>
      </c>
      <c r="L127" s="169">
        <v>1100000</v>
      </c>
      <c r="M127" s="169">
        <v>2904000</v>
      </c>
      <c r="N127" s="168">
        <f t="shared" si="31"/>
        <v>164</v>
      </c>
      <c r="Q127" s="35">
        <v>622942</v>
      </c>
      <c r="R127" s="5" t="s">
        <v>4675</v>
      </c>
      <c r="S127" s="5">
        <f>S126-1</f>
        <v>229</v>
      </c>
      <c r="T127" s="5" t="s">
        <v>4676</v>
      </c>
      <c r="U127" s="210">
        <v>503.3</v>
      </c>
      <c r="V127" s="99">
        <f t="shared" si="28"/>
        <v>599.36549150684937</v>
      </c>
      <c r="W127" s="32">
        <f t="shared" si="35"/>
        <v>611.35280133698632</v>
      </c>
      <c r="X127" s="32">
        <f t="shared" si="36"/>
        <v>623.34011116712338</v>
      </c>
      <c r="AH127" s="149">
        <v>107</v>
      </c>
      <c r="AI127" s="188" t="s">
        <v>4624</v>
      </c>
      <c r="AJ127" s="188">
        <v>-48200</v>
      </c>
      <c r="AK127" s="149">
        <v>0</v>
      </c>
      <c r="AL127" s="149">
        <f t="shared" ref="AL127:AL177" si="37">AL128+AK127</f>
        <v>232</v>
      </c>
      <c r="AM127" s="188">
        <f t="shared" si="33"/>
        <v>-11182400</v>
      </c>
      <c r="AN127" s="149" t="s">
        <v>4633</v>
      </c>
    </row>
    <row r="128" spans="6:46">
      <c r="G128" s="41"/>
      <c r="H128" s="41"/>
      <c r="I128" s="41"/>
      <c r="J128" s="41"/>
      <c r="K128" s="264" t="s">
        <v>1085</v>
      </c>
      <c r="L128" s="169">
        <v>1100000</v>
      </c>
      <c r="M128" s="169">
        <v>3400000</v>
      </c>
      <c r="N128" s="168">
        <f t="shared" si="31"/>
        <v>209.09090909090909</v>
      </c>
      <c r="P128" s="114"/>
      <c r="Q128" s="35">
        <v>1472140</v>
      </c>
      <c r="R128" s="5" t="s">
        <v>4681</v>
      </c>
      <c r="S128" s="5">
        <f>S127-3</f>
        <v>226</v>
      </c>
      <c r="T128" s="5" t="s">
        <v>4683</v>
      </c>
      <c r="U128" s="168">
        <v>502</v>
      </c>
      <c r="V128" s="99">
        <f t="shared" si="28"/>
        <v>596.66207123287677</v>
      </c>
      <c r="W128" s="32">
        <f t="shared" si="35"/>
        <v>608.59531265753435</v>
      </c>
      <c r="X128" s="32">
        <f t="shared" si="36"/>
        <v>620.52855408219182</v>
      </c>
      <c r="AH128" s="89">
        <v>108</v>
      </c>
      <c r="AI128" s="90" t="s">
        <v>4624</v>
      </c>
      <c r="AJ128" s="90">
        <v>39327293</v>
      </c>
      <c r="AK128" s="89">
        <v>4</v>
      </c>
      <c r="AL128" s="149">
        <f t="shared" si="37"/>
        <v>232</v>
      </c>
      <c r="AM128" s="188">
        <f t="shared" si="33"/>
        <v>9123931976</v>
      </c>
      <c r="AN128" s="89" t="s">
        <v>4634</v>
      </c>
    </row>
    <row r="129" spans="7:43">
      <c r="G129" s="213"/>
      <c r="H129" s="213" t="s">
        <v>4279</v>
      </c>
      <c r="I129" s="213" t="s">
        <v>5269</v>
      </c>
      <c r="J129" s="1">
        <v>16319143</v>
      </c>
      <c r="K129" s="243" t="s">
        <v>4562</v>
      </c>
      <c r="Q129" s="35">
        <v>4003090</v>
      </c>
      <c r="R129" s="5" t="s">
        <v>4685</v>
      </c>
      <c r="S129" s="5">
        <f>S128-1</f>
        <v>225</v>
      </c>
      <c r="T129" s="5" t="s">
        <v>5135</v>
      </c>
      <c r="U129" s="168">
        <v>481.7</v>
      </c>
      <c r="V129" s="99">
        <f t="shared" si="28"/>
        <v>572.16457972602745</v>
      </c>
      <c r="W129" s="32">
        <f t="shared" si="35"/>
        <v>583.60787132054804</v>
      </c>
      <c r="X129" s="32">
        <f t="shared" si="36"/>
        <v>595.05116291506852</v>
      </c>
      <c r="Y129" t="s">
        <v>25</v>
      </c>
      <c r="AH129" s="89">
        <v>109</v>
      </c>
      <c r="AI129" s="90" t="s">
        <v>4648</v>
      </c>
      <c r="AJ129" s="90">
        <v>8749050</v>
      </c>
      <c r="AK129" s="89">
        <v>1</v>
      </c>
      <c r="AL129" s="89">
        <f t="shared" si="37"/>
        <v>228</v>
      </c>
      <c r="AM129" s="90">
        <f t="shared" si="33"/>
        <v>1994783400</v>
      </c>
      <c r="AN129" s="89" t="s">
        <v>4649</v>
      </c>
    </row>
    <row r="130" spans="7:43">
      <c r="G130" s="1">
        <f>P51</f>
        <v>283.60000000000002</v>
      </c>
      <c r="H130" s="213" t="s">
        <v>4241</v>
      </c>
      <c r="I130" s="213">
        <v>50896</v>
      </c>
      <c r="J130" s="1">
        <f>G130*I130</f>
        <v>14434105.600000001</v>
      </c>
      <c r="K130" s="243" t="s">
        <v>4563</v>
      </c>
      <c r="Q130" s="169">
        <v>6150141</v>
      </c>
      <c r="R130" s="213" t="s">
        <v>4873</v>
      </c>
      <c r="S130" s="213">
        <f>S129-64</f>
        <v>161</v>
      </c>
      <c r="T130" s="213" t="s">
        <v>4880</v>
      </c>
      <c r="U130" s="213">
        <v>180.6</v>
      </c>
      <c r="V130" s="99">
        <f t="shared" si="28"/>
        <v>205.65045698630135</v>
      </c>
      <c r="W130" s="32">
        <f t="shared" si="35"/>
        <v>209.76346612602737</v>
      </c>
      <c r="X130" s="32">
        <f t="shared" si="36"/>
        <v>213.87647526575341</v>
      </c>
      <c r="Z130" t="s">
        <v>25</v>
      </c>
      <c r="AH130" s="99">
        <v>110</v>
      </c>
      <c r="AI130" s="113" t="s">
        <v>4651</v>
      </c>
      <c r="AJ130" s="113">
        <v>60000</v>
      </c>
      <c r="AK130" s="99">
        <v>1</v>
      </c>
      <c r="AL130" s="99">
        <f t="shared" si="37"/>
        <v>227</v>
      </c>
      <c r="AM130" s="117">
        <f t="shared" si="33"/>
        <v>13620000</v>
      </c>
      <c r="AN130" s="99" t="s">
        <v>4652</v>
      </c>
    </row>
    <row r="131" spans="7:43">
      <c r="G131" s="1">
        <f>P48</f>
        <v>762</v>
      </c>
      <c r="H131" s="213" t="s">
        <v>4406</v>
      </c>
      <c r="I131" s="213">
        <v>2304</v>
      </c>
      <c r="J131" s="1">
        <f t="shared" ref="J131:J132" si="38">G131*I131</f>
        <v>1755648</v>
      </c>
      <c r="K131" s="243" t="s">
        <v>4564</v>
      </c>
      <c r="Q131" s="169">
        <v>1399908</v>
      </c>
      <c r="R131" s="213" t="s">
        <v>4943</v>
      </c>
      <c r="S131" s="213">
        <f>S130-20</f>
        <v>141</v>
      </c>
      <c r="T131" s="213" t="s">
        <v>4944</v>
      </c>
      <c r="U131" s="213">
        <v>194</v>
      </c>
      <c r="V131" s="99">
        <f t="shared" si="28"/>
        <v>217.93269041095894</v>
      </c>
      <c r="W131" s="32">
        <f t="shared" si="35"/>
        <v>222.29134421917811</v>
      </c>
      <c r="X131" s="32">
        <f t="shared" si="36"/>
        <v>226.64999802739732</v>
      </c>
      <c r="Y131" t="s">
        <v>25</v>
      </c>
      <c r="AH131" s="20">
        <v>111</v>
      </c>
      <c r="AI131" s="117" t="s">
        <v>4660</v>
      </c>
      <c r="AJ131" s="117">
        <v>4750000</v>
      </c>
      <c r="AK131" s="20">
        <v>0</v>
      </c>
      <c r="AL131" s="99">
        <f t="shared" si="37"/>
        <v>226</v>
      </c>
      <c r="AM131" s="117">
        <f t="shared" si="33"/>
        <v>1073500000</v>
      </c>
      <c r="AN131" s="20"/>
      <c r="AQ131" t="s">
        <v>25</v>
      </c>
    </row>
    <row r="132" spans="7:43">
      <c r="G132" s="1">
        <f>P47</f>
        <v>4587.3</v>
      </c>
      <c r="H132" s="213" t="s">
        <v>4388</v>
      </c>
      <c r="I132" s="213">
        <v>715</v>
      </c>
      <c r="J132" s="1">
        <f t="shared" si="38"/>
        <v>3279919.5</v>
      </c>
      <c r="Q132" s="169">
        <v>1204033</v>
      </c>
      <c r="R132" s="213" t="s">
        <v>4953</v>
      </c>
      <c r="S132" s="213">
        <f>S131-7</f>
        <v>134</v>
      </c>
      <c r="T132" s="213" t="s">
        <v>4956</v>
      </c>
      <c r="U132" s="213">
        <v>218.5</v>
      </c>
      <c r="V132" s="99">
        <f t="shared" si="28"/>
        <v>244.28180273972606</v>
      </c>
      <c r="W132" s="32">
        <f t="shared" si="35"/>
        <v>249.16743879452059</v>
      </c>
      <c r="X132" s="32">
        <f t="shared" si="36"/>
        <v>254.05307484931512</v>
      </c>
      <c r="Y132" t="s">
        <v>25</v>
      </c>
      <c r="AH132" s="89">
        <v>112</v>
      </c>
      <c r="AI132" s="90" t="s">
        <v>4660</v>
      </c>
      <c r="AJ132" s="90">
        <v>13101160</v>
      </c>
      <c r="AK132" s="89">
        <v>1</v>
      </c>
      <c r="AL132" s="89">
        <f t="shared" si="37"/>
        <v>226</v>
      </c>
      <c r="AM132" s="90">
        <f t="shared" si="33"/>
        <v>2960862160</v>
      </c>
      <c r="AN132" s="89" t="s">
        <v>4663</v>
      </c>
    </row>
    <row r="133" spans="7:43">
      <c r="G133" s="213"/>
      <c r="H133" s="213"/>
      <c r="I133" s="213" t="s">
        <v>25</v>
      </c>
      <c r="J133" s="213" t="s">
        <v>25</v>
      </c>
      <c r="Q133" s="169">
        <v>8382674</v>
      </c>
      <c r="R133" s="213" t="s">
        <v>4963</v>
      </c>
      <c r="S133" s="213">
        <f>S132-7</f>
        <v>127</v>
      </c>
      <c r="T133" s="213" t="s">
        <v>4969</v>
      </c>
      <c r="U133" s="213">
        <v>192</v>
      </c>
      <c r="V133" s="99">
        <f t="shared" si="28"/>
        <v>213.62393424657535</v>
      </c>
      <c r="W133" s="32">
        <f t="shared" si="35"/>
        <v>217.89641293150686</v>
      </c>
      <c r="X133" s="32">
        <f t="shared" si="36"/>
        <v>222.16889161643837</v>
      </c>
      <c r="AH133" s="20">
        <v>113</v>
      </c>
      <c r="AI133" s="117" t="s">
        <v>4662</v>
      </c>
      <c r="AJ133" s="117">
        <v>-980000</v>
      </c>
      <c r="AK133" s="20">
        <v>0</v>
      </c>
      <c r="AL133" s="99">
        <f t="shared" si="37"/>
        <v>225</v>
      </c>
      <c r="AM133" s="117">
        <f t="shared" si="33"/>
        <v>-220500000</v>
      </c>
      <c r="AN133" s="20"/>
    </row>
    <row r="134" spans="7:43">
      <c r="G134" s="213"/>
      <c r="H134" s="213"/>
      <c r="I134" s="113">
        <f>J134-J129</f>
        <v>3150530.1000000015</v>
      </c>
      <c r="J134" s="1">
        <f>SUM(J130:J133)</f>
        <v>19469673.100000001</v>
      </c>
      <c r="Q134" s="169">
        <v>190884649</v>
      </c>
      <c r="R134" s="213" t="s">
        <v>4982</v>
      </c>
      <c r="S134" s="213">
        <f>S133-9</f>
        <v>118</v>
      </c>
      <c r="T134" s="213" t="s">
        <v>4985</v>
      </c>
      <c r="U134" s="213">
        <v>193.6</v>
      </c>
      <c r="V134" s="99">
        <f t="shared" si="28"/>
        <v>214.06749808219178</v>
      </c>
      <c r="W134" s="32">
        <f t="shared" si="35"/>
        <v>218.3488480438356</v>
      </c>
      <c r="X134" s="32">
        <f t="shared" si="36"/>
        <v>222.63019800547946</v>
      </c>
      <c r="Y134" t="s">
        <v>25</v>
      </c>
      <c r="AH134" s="89">
        <v>114</v>
      </c>
      <c r="AI134" s="90" t="s">
        <v>4662</v>
      </c>
      <c r="AJ134" s="90">
        <v>13301790</v>
      </c>
      <c r="AK134" s="89">
        <v>0</v>
      </c>
      <c r="AL134" s="89">
        <f t="shared" si="37"/>
        <v>225</v>
      </c>
      <c r="AM134" s="90">
        <f t="shared" si="33"/>
        <v>2992902750</v>
      </c>
      <c r="AN134" s="89" t="s">
        <v>4663</v>
      </c>
      <c r="AQ134" t="s">
        <v>25</v>
      </c>
    </row>
    <row r="135" spans="7:43">
      <c r="G135" s="213"/>
      <c r="H135" s="213"/>
      <c r="I135" s="213" t="s">
        <v>916</v>
      </c>
      <c r="J135" s="213" t="s">
        <v>6</v>
      </c>
      <c r="Q135" s="169">
        <v>2099962</v>
      </c>
      <c r="R135" s="213" t="s">
        <v>4984</v>
      </c>
      <c r="S135" s="213">
        <f>S134-1</f>
        <v>117</v>
      </c>
      <c r="T135" s="213" t="s">
        <v>4988</v>
      </c>
      <c r="U135" s="213">
        <v>196.5</v>
      </c>
      <c r="V135" s="99">
        <f t="shared" si="28"/>
        <v>217.1233479452055</v>
      </c>
      <c r="W135" s="32">
        <f t="shared" si="35"/>
        <v>221.46581490410961</v>
      </c>
      <c r="X135" s="32">
        <f t="shared" si="36"/>
        <v>225.80828186301372</v>
      </c>
      <c r="AH135" s="20">
        <v>115</v>
      </c>
      <c r="AI135" s="117" t="s">
        <v>4662</v>
      </c>
      <c r="AJ135" s="117">
        <v>404000</v>
      </c>
      <c r="AK135" s="20">
        <v>5</v>
      </c>
      <c r="AL135" s="99">
        <f t="shared" si="37"/>
        <v>225</v>
      </c>
      <c r="AM135" s="117">
        <f t="shared" si="33"/>
        <v>90900000</v>
      </c>
      <c r="AN135" s="20" t="s">
        <v>4670</v>
      </c>
    </row>
    <row r="136" spans="7:43">
      <c r="G136" s="41"/>
      <c r="H136" s="41"/>
      <c r="I136" s="41"/>
      <c r="J136" s="41"/>
      <c r="Q136" s="169">
        <v>130756</v>
      </c>
      <c r="R136" s="213" t="s">
        <v>4989</v>
      </c>
      <c r="S136" s="213">
        <f>S135-1</f>
        <v>116</v>
      </c>
      <c r="T136" s="213" t="s">
        <v>4990</v>
      </c>
      <c r="U136" s="213">
        <v>197.8</v>
      </c>
      <c r="V136" s="99">
        <f t="shared" si="28"/>
        <v>218.40805041095894</v>
      </c>
      <c r="W136" s="32">
        <f t="shared" si="35"/>
        <v>222.77621141917811</v>
      </c>
      <c r="X136" s="32">
        <f t="shared" si="36"/>
        <v>227.14437242739731</v>
      </c>
      <c r="Y136" t="s">
        <v>25</v>
      </c>
      <c r="AH136" s="89">
        <v>116</v>
      </c>
      <c r="AI136" s="90" t="s">
        <v>4685</v>
      </c>
      <c r="AJ136" s="90">
        <v>4291628</v>
      </c>
      <c r="AK136" s="89">
        <v>2</v>
      </c>
      <c r="AL136" s="89">
        <f t="shared" si="37"/>
        <v>220</v>
      </c>
      <c r="AM136" s="90">
        <f t="shared" si="33"/>
        <v>944158160</v>
      </c>
      <c r="AN136" s="89" t="s">
        <v>4686</v>
      </c>
    </row>
    <row r="137" spans="7:43">
      <c r="G137" s="213"/>
      <c r="H137" s="213" t="s">
        <v>5267</v>
      </c>
      <c r="I137" s="213" t="s">
        <v>5270</v>
      </c>
      <c r="J137" s="1">
        <v>19795000</v>
      </c>
      <c r="M137">
        <v>236</v>
      </c>
      <c r="N137">
        <v>3</v>
      </c>
      <c r="O137">
        <f>M137*N137</f>
        <v>708</v>
      </c>
      <c r="Q137" s="169">
        <v>795874</v>
      </c>
      <c r="R137" s="213" t="s">
        <v>5003</v>
      </c>
      <c r="S137" s="213">
        <f>S136-6</f>
        <v>110</v>
      </c>
      <c r="T137" s="213" t="s">
        <v>5004</v>
      </c>
      <c r="U137" s="213">
        <v>198.1</v>
      </c>
      <c r="V137" s="99">
        <f t="shared" si="28"/>
        <v>217.82750356164382</v>
      </c>
      <c r="W137" s="32">
        <f t="shared" si="35"/>
        <v>222.1840536328767</v>
      </c>
      <c r="X137" s="32">
        <f t="shared" si="36"/>
        <v>226.54060370410957</v>
      </c>
      <c r="Z137" t="s">
        <v>25</v>
      </c>
      <c r="AH137" s="20">
        <v>117</v>
      </c>
      <c r="AI137" s="117" t="s">
        <v>4688</v>
      </c>
      <c r="AJ137" s="117">
        <v>1000</v>
      </c>
      <c r="AK137" s="20">
        <v>5</v>
      </c>
      <c r="AL137" s="20">
        <f t="shared" si="37"/>
        <v>218</v>
      </c>
      <c r="AM137" s="117">
        <f t="shared" si="33"/>
        <v>218000</v>
      </c>
      <c r="AN137" s="20"/>
    </row>
    <row r="138" spans="7:43">
      <c r="G138" s="1">
        <f>P51</f>
        <v>283.60000000000002</v>
      </c>
      <c r="H138" s="213" t="s">
        <v>4241</v>
      </c>
      <c r="I138" s="213">
        <v>46582</v>
      </c>
      <c r="J138" s="1">
        <f>G138*I138</f>
        <v>13210655.200000001</v>
      </c>
      <c r="K138" t="s">
        <v>25</v>
      </c>
      <c r="M138">
        <v>126</v>
      </c>
      <c r="N138">
        <v>1</v>
      </c>
      <c r="O138">
        <f>M138*N138</f>
        <v>126</v>
      </c>
      <c r="Q138" s="169">
        <v>400348</v>
      </c>
      <c r="R138" s="213" t="s">
        <v>5006</v>
      </c>
      <c r="S138" s="213">
        <f>S137-1</f>
        <v>109</v>
      </c>
      <c r="T138" s="213" t="s">
        <v>5008</v>
      </c>
      <c r="U138" s="213">
        <v>199.3</v>
      </c>
      <c r="V138" s="99">
        <f t="shared" si="28"/>
        <v>218.9941161643836</v>
      </c>
      <c r="W138" s="32">
        <f t="shared" si="35"/>
        <v>223.37399848767129</v>
      </c>
      <c r="X138" s="32">
        <f t="shared" si="36"/>
        <v>227.75388081095895</v>
      </c>
      <c r="Y138" t="s">
        <v>25</v>
      </c>
      <c r="AH138" s="121">
        <v>118</v>
      </c>
      <c r="AI138" s="79" t="s">
        <v>4696</v>
      </c>
      <c r="AJ138" s="79">
        <v>8739459</v>
      </c>
      <c r="AK138" s="121">
        <v>2</v>
      </c>
      <c r="AL138" s="121">
        <f t="shared" si="37"/>
        <v>213</v>
      </c>
      <c r="AM138" s="79">
        <f t="shared" si="33"/>
        <v>1861504767</v>
      </c>
      <c r="AN138" s="121" t="s">
        <v>4649</v>
      </c>
    </row>
    <row r="139" spans="7:43">
      <c r="G139" s="213"/>
      <c r="H139" s="213" t="s">
        <v>338</v>
      </c>
      <c r="I139" s="213"/>
      <c r="J139" s="1">
        <v>10000000</v>
      </c>
      <c r="L139">
        <v>821</v>
      </c>
      <c r="M139">
        <v>590</v>
      </c>
      <c r="N139">
        <v>0</v>
      </c>
      <c r="O139" s="96">
        <f>M139*N139</f>
        <v>0</v>
      </c>
      <c r="Q139" s="169">
        <v>5896463</v>
      </c>
      <c r="R139" s="213" t="s">
        <v>5017</v>
      </c>
      <c r="S139" s="213">
        <f>S138-4</f>
        <v>105</v>
      </c>
      <c r="T139" s="213" t="s">
        <v>5018</v>
      </c>
      <c r="U139" s="213">
        <v>197.4</v>
      </c>
      <c r="V139" s="99">
        <f t="shared" si="28"/>
        <v>216.30064438356166</v>
      </c>
      <c r="W139" s="32">
        <f t="shared" si="35"/>
        <v>220.62665727123289</v>
      </c>
      <c r="X139" s="32">
        <f t="shared" si="36"/>
        <v>224.95267015890414</v>
      </c>
      <c r="AH139" s="121">
        <v>119</v>
      </c>
      <c r="AI139" s="79" t="s">
        <v>4697</v>
      </c>
      <c r="AJ139" s="79">
        <v>17595278</v>
      </c>
      <c r="AK139" s="121">
        <v>1</v>
      </c>
      <c r="AL139" s="121">
        <f t="shared" si="37"/>
        <v>211</v>
      </c>
      <c r="AM139" s="79">
        <f t="shared" si="33"/>
        <v>3712603658</v>
      </c>
      <c r="AN139" s="121" t="s">
        <v>4699</v>
      </c>
      <c r="AQ139" t="s">
        <v>25</v>
      </c>
    </row>
    <row r="140" spans="7:43">
      <c r="G140" s="213"/>
      <c r="H140" s="213"/>
      <c r="I140" s="1">
        <f>J140-J137</f>
        <v>3415655.200000003</v>
      </c>
      <c r="J140" s="1">
        <f>SUM(J138:J139)</f>
        <v>23210655.200000003</v>
      </c>
      <c r="K140" t="s">
        <v>25</v>
      </c>
      <c r="Q140" s="169">
        <v>1499873</v>
      </c>
      <c r="R140" s="213" t="s">
        <v>5031</v>
      </c>
      <c r="S140" s="213">
        <f>S139-8</f>
        <v>97</v>
      </c>
      <c r="T140" s="213" t="s">
        <v>5035</v>
      </c>
      <c r="U140" s="213">
        <v>200.1</v>
      </c>
      <c r="V140" s="99">
        <f t="shared" ref="V140:V161" si="39">U140*(1+$R$104+$Q$15*S140/36500)</f>
        <v>218.03115287671233</v>
      </c>
      <c r="W140" s="32">
        <f t="shared" si="35"/>
        <v>222.39177593424657</v>
      </c>
      <c r="X140" s="32">
        <f t="shared" si="36"/>
        <v>226.75239899178084</v>
      </c>
      <c r="Z140" t="s">
        <v>25</v>
      </c>
      <c r="AH140" s="121">
        <v>120</v>
      </c>
      <c r="AI140" s="79" t="s">
        <v>4698</v>
      </c>
      <c r="AJ140" s="79">
        <v>13335309</v>
      </c>
      <c r="AK140" s="121">
        <v>13</v>
      </c>
      <c r="AL140" s="121">
        <f t="shared" si="37"/>
        <v>210</v>
      </c>
      <c r="AM140" s="79">
        <f t="shared" si="33"/>
        <v>2800414890</v>
      </c>
      <c r="AN140" s="121" t="s">
        <v>4663</v>
      </c>
    </row>
    <row r="141" spans="7:43">
      <c r="G141" s="213"/>
      <c r="H141" s="213"/>
      <c r="I141" s="213" t="s">
        <v>916</v>
      </c>
      <c r="J141" s="213" t="s">
        <v>6</v>
      </c>
      <c r="O141">
        <f>O137+O138+O139</f>
        <v>834</v>
      </c>
      <c r="Q141" s="169">
        <v>25141103</v>
      </c>
      <c r="R141" s="213" t="s">
        <v>5057</v>
      </c>
      <c r="S141" s="213">
        <f>S140-7</f>
        <v>90</v>
      </c>
      <c r="T141" s="213" t="s">
        <v>5060</v>
      </c>
      <c r="U141" s="213">
        <v>211.3</v>
      </c>
      <c r="V141" s="99">
        <f t="shared" si="39"/>
        <v>229.1001435616439</v>
      </c>
      <c r="W141" s="32">
        <f t="shared" si="35"/>
        <v>233.68214643287678</v>
      </c>
      <c r="X141" s="32">
        <f t="shared" si="36"/>
        <v>238.26414930410968</v>
      </c>
      <c r="Y141" t="s">
        <v>25</v>
      </c>
      <c r="AA141" t="s">
        <v>25</v>
      </c>
      <c r="AH141" s="161">
        <v>121</v>
      </c>
      <c r="AI141" s="228" t="s">
        <v>4753</v>
      </c>
      <c r="AJ141" s="228">
        <v>50000000</v>
      </c>
      <c r="AK141" s="161">
        <v>11</v>
      </c>
      <c r="AL141" s="161">
        <f t="shared" si="37"/>
        <v>197</v>
      </c>
      <c r="AM141" s="228">
        <f t="shared" si="33"/>
        <v>9850000000</v>
      </c>
      <c r="AN141" s="161" t="s">
        <v>4755</v>
      </c>
      <c r="AP141" t="s">
        <v>25</v>
      </c>
    </row>
    <row r="142" spans="7:43">
      <c r="Q142" s="169">
        <v>120581</v>
      </c>
      <c r="R142" s="213" t="s">
        <v>5061</v>
      </c>
      <c r="S142" s="213">
        <f>S141-1</f>
        <v>89</v>
      </c>
      <c r="T142" s="213" t="s">
        <v>5062</v>
      </c>
      <c r="U142" s="213">
        <v>210.2</v>
      </c>
      <c r="V142" s="99">
        <f t="shared" si="39"/>
        <v>227.74622904109589</v>
      </c>
      <c r="W142" s="32">
        <f t="shared" si="35"/>
        <v>232.30115362191782</v>
      </c>
      <c r="X142" s="32">
        <f t="shared" si="36"/>
        <v>236.85607820273972</v>
      </c>
      <c r="Y142" t="s">
        <v>25</v>
      </c>
      <c r="AH142" s="20">
        <v>122</v>
      </c>
      <c r="AI142" s="117" t="s">
        <v>973</v>
      </c>
      <c r="AJ142" s="117">
        <v>30000</v>
      </c>
      <c r="AK142" s="20">
        <v>3</v>
      </c>
      <c r="AL142" s="20">
        <f t="shared" si="37"/>
        <v>186</v>
      </c>
      <c r="AM142" s="117">
        <f t="shared" si="33"/>
        <v>5580000</v>
      </c>
      <c r="AN142" s="20"/>
    </row>
    <row r="143" spans="7:43">
      <c r="Q143" s="169">
        <v>500951</v>
      </c>
      <c r="R143" s="213" t="s">
        <v>5061</v>
      </c>
      <c r="S143" s="213">
        <f>S142</f>
        <v>89</v>
      </c>
      <c r="T143" s="213" t="s">
        <v>5066</v>
      </c>
      <c r="U143" s="213">
        <v>209.6</v>
      </c>
      <c r="V143" s="99">
        <f t="shared" si="39"/>
        <v>227.09614465753427</v>
      </c>
      <c r="W143" s="32">
        <f t="shared" si="35"/>
        <v>231.63806755068495</v>
      </c>
      <c r="X143" s="32">
        <f t="shared" si="36"/>
        <v>236.17999044383564</v>
      </c>
      <c r="Y143" t="s">
        <v>25</v>
      </c>
      <c r="AH143" s="20">
        <v>123</v>
      </c>
      <c r="AI143" s="117" t="s">
        <v>4817</v>
      </c>
      <c r="AJ143" s="117">
        <v>600000</v>
      </c>
      <c r="AK143" s="20">
        <v>1</v>
      </c>
      <c r="AL143" s="20">
        <f t="shared" si="37"/>
        <v>183</v>
      </c>
      <c r="AM143" s="117">
        <f t="shared" si="33"/>
        <v>109800000</v>
      </c>
      <c r="AN143" s="20"/>
    </row>
    <row r="144" spans="7:43">
      <c r="Q144" s="169">
        <v>493081</v>
      </c>
      <c r="R144" s="213" t="s">
        <v>5069</v>
      </c>
      <c r="S144" s="213">
        <f>S143-1</f>
        <v>88</v>
      </c>
      <c r="T144" s="213" t="s">
        <v>5071</v>
      </c>
      <c r="U144" s="213">
        <v>205.1</v>
      </c>
      <c r="V144" s="99">
        <f t="shared" si="39"/>
        <v>222.06317479452056</v>
      </c>
      <c r="W144" s="32">
        <f t="shared" si="35"/>
        <v>226.50443829041097</v>
      </c>
      <c r="X144" s="32">
        <f t="shared" si="36"/>
        <v>230.94570178630138</v>
      </c>
      <c r="Y144" t="s">
        <v>25</v>
      </c>
      <c r="AH144" s="20">
        <v>124</v>
      </c>
      <c r="AI144" s="117" t="s">
        <v>4824</v>
      </c>
      <c r="AJ144" s="117">
        <v>30000</v>
      </c>
      <c r="AK144" s="20">
        <v>3</v>
      </c>
      <c r="AL144" s="20">
        <f t="shared" si="37"/>
        <v>182</v>
      </c>
      <c r="AM144" s="117">
        <f t="shared" si="33"/>
        <v>5460000</v>
      </c>
      <c r="AN144" s="20"/>
    </row>
    <row r="145" spans="6:44">
      <c r="Q145" s="169">
        <v>43287917</v>
      </c>
      <c r="R145" s="213" t="s">
        <v>5073</v>
      </c>
      <c r="S145" s="213">
        <f>S144-3</f>
        <v>85</v>
      </c>
      <c r="T145" s="213" t="s">
        <v>5096</v>
      </c>
      <c r="U145" s="213">
        <v>203.6</v>
      </c>
      <c r="V145" s="99">
        <f t="shared" si="39"/>
        <v>219.97055561643836</v>
      </c>
      <c r="W145" s="32">
        <f t="shared" si="35"/>
        <v>224.36996672876714</v>
      </c>
      <c r="X145" s="32">
        <f t="shared" si="36"/>
        <v>228.76937784109592</v>
      </c>
      <c r="Y145" s="122" t="s">
        <v>25</v>
      </c>
      <c r="AH145" s="20">
        <v>125</v>
      </c>
      <c r="AI145" s="117" t="s">
        <v>4831</v>
      </c>
      <c r="AJ145" s="117">
        <v>2250000</v>
      </c>
      <c r="AK145" s="20">
        <v>1</v>
      </c>
      <c r="AL145" s="20">
        <f t="shared" si="37"/>
        <v>179</v>
      </c>
      <c r="AM145" s="117">
        <f t="shared" ref="AM145:AM147" si="40">AJ145*AL145</f>
        <v>402750000</v>
      </c>
      <c r="AN145" s="20"/>
      <c r="AR145" t="s">
        <v>25</v>
      </c>
    </row>
    <row r="146" spans="6:44">
      <c r="P146" s="114" t="s">
        <v>25</v>
      </c>
      <c r="Q146" s="169">
        <v>3195995</v>
      </c>
      <c r="R146" s="213" t="s">
        <v>5100</v>
      </c>
      <c r="S146" s="213">
        <f>S145-11</f>
        <v>74</v>
      </c>
      <c r="T146" s="213" t="s">
        <v>5101</v>
      </c>
      <c r="U146" s="213">
        <v>228</v>
      </c>
      <c r="V146" s="99">
        <f t="shared" si="39"/>
        <v>244.40850410958905</v>
      </c>
      <c r="W146" s="32">
        <f t="shared" si="35"/>
        <v>249.29667419178082</v>
      </c>
      <c r="X146" s="32">
        <f t="shared" si="36"/>
        <v>254.18484427397263</v>
      </c>
      <c r="AH146" s="23">
        <v>126</v>
      </c>
      <c r="AI146" s="35" t="s">
        <v>4836</v>
      </c>
      <c r="AJ146" s="35">
        <v>-31412200</v>
      </c>
      <c r="AK146" s="23">
        <v>1</v>
      </c>
      <c r="AL146" s="20">
        <f t="shared" si="37"/>
        <v>178</v>
      </c>
      <c r="AM146" s="35">
        <f t="shared" si="40"/>
        <v>-5591371600</v>
      </c>
      <c r="AN146" s="23" t="s">
        <v>4819</v>
      </c>
    </row>
    <row r="147" spans="6:44">
      <c r="Q147" s="169">
        <v>5897690</v>
      </c>
      <c r="R147" s="213" t="s">
        <v>5110</v>
      </c>
      <c r="S147" s="213">
        <f>S146-10</f>
        <v>64</v>
      </c>
      <c r="T147" s="213" t="s">
        <v>5113</v>
      </c>
      <c r="U147" s="213">
        <v>236</v>
      </c>
      <c r="V147" s="99">
        <f t="shared" si="39"/>
        <v>251.17383013698631</v>
      </c>
      <c r="W147" s="32">
        <f t="shared" si="35"/>
        <v>256.19730673972606</v>
      </c>
      <c r="X147" s="32">
        <f t="shared" si="36"/>
        <v>261.22078334246578</v>
      </c>
      <c r="Z147" s="96"/>
      <c r="AH147" s="20">
        <v>127</v>
      </c>
      <c r="AI147" s="117" t="s">
        <v>4845</v>
      </c>
      <c r="AJ147" s="117">
        <v>70000</v>
      </c>
      <c r="AK147" s="20">
        <v>9</v>
      </c>
      <c r="AL147" s="20">
        <f t="shared" si="37"/>
        <v>177</v>
      </c>
      <c r="AM147" s="117">
        <f t="shared" si="40"/>
        <v>12390000</v>
      </c>
      <c r="AN147" s="20"/>
    </row>
    <row r="148" spans="6:44">
      <c r="F148" t="s">
        <v>4820</v>
      </c>
      <c r="Q148" s="169">
        <v>1203628</v>
      </c>
      <c r="R148" s="213" t="s">
        <v>5117</v>
      </c>
      <c r="S148" s="213">
        <f>S147-2</f>
        <v>62</v>
      </c>
      <c r="T148" s="213" t="s">
        <v>5118</v>
      </c>
      <c r="U148" s="213">
        <v>235.1</v>
      </c>
      <c r="V148" s="99">
        <f t="shared" si="39"/>
        <v>249.85526246575341</v>
      </c>
      <c r="W148" s="32">
        <f t="shared" ref="W148:W159" si="41">V148*(1+$W$19/100)</f>
        <v>254.85236771506848</v>
      </c>
      <c r="X148" s="32">
        <f t="shared" ref="X148:X159" si="42">V148*(1+$X$19/100)</f>
        <v>259.84947296438355</v>
      </c>
      <c r="Z148" s="96"/>
      <c r="AH148" s="99">
        <v>128</v>
      </c>
      <c r="AI148" s="113" t="s">
        <v>4852</v>
      </c>
      <c r="AJ148" s="113">
        <v>20000</v>
      </c>
      <c r="AK148" s="99">
        <v>10</v>
      </c>
      <c r="AL148" s="20">
        <f t="shared" si="37"/>
        <v>168</v>
      </c>
      <c r="AM148" s="117">
        <f t="shared" ref="AM148:AM149" si="43">AJ148*AL148</f>
        <v>3360000</v>
      </c>
      <c r="AN148" s="20"/>
      <c r="AP148" t="s">
        <v>25</v>
      </c>
    </row>
    <row r="149" spans="6:44">
      <c r="Q149" s="169">
        <v>2598983</v>
      </c>
      <c r="R149" s="213" t="s">
        <v>5115</v>
      </c>
      <c r="S149" s="213">
        <f>S148-2</f>
        <v>60</v>
      </c>
      <c r="T149" s="213" t="s">
        <v>5124</v>
      </c>
      <c r="U149" s="213">
        <v>233.2</v>
      </c>
      <c r="V149" s="99">
        <f t="shared" si="39"/>
        <v>247.47822904109591</v>
      </c>
      <c r="W149" s="32">
        <f t="shared" si="41"/>
        <v>252.42779362191783</v>
      </c>
      <c r="X149" s="32">
        <f t="shared" si="42"/>
        <v>257.37735820273974</v>
      </c>
      <c r="Z149" s="96"/>
      <c r="AH149" s="99">
        <v>129</v>
      </c>
      <c r="AI149" s="113" t="s">
        <v>4872</v>
      </c>
      <c r="AJ149" s="113">
        <v>1000000</v>
      </c>
      <c r="AK149" s="99">
        <v>1</v>
      </c>
      <c r="AL149" s="20">
        <f t="shared" si="37"/>
        <v>158</v>
      </c>
      <c r="AM149" s="117">
        <f t="shared" si="43"/>
        <v>158000000</v>
      </c>
      <c r="AN149" s="20"/>
    </row>
    <row r="150" spans="6:44">
      <c r="G150">
        <v>1200</v>
      </c>
      <c r="H150" t="s">
        <v>4821</v>
      </c>
      <c r="Q150" s="169">
        <v>8061801</v>
      </c>
      <c r="R150" s="213" t="s">
        <v>5116</v>
      </c>
      <c r="S150" s="213">
        <f>S149-6</f>
        <v>54</v>
      </c>
      <c r="T150" s="213" t="s">
        <v>5127</v>
      </c>
      <c r="U150" s="213">
        <v>240.4</v>
      </c>
      <c r="V150" s="99">
        <f t="shared" si="39"/>
        <v>254.01256767123289</v>
      </c>
      <c r="W150" s="32">
        <f t="shared" si="41"/>
        <v>259.09281902465756</v>
      </c>
      <c r="X150" s="32">
        <f t="shared" si="42"/>
        <v>264.17307037808223</v>
      </c>
      <c r="Y150" t="s">
        <v>25</v>
      </c>
      <c r="Z150" s="96"/>
      <c r="AA150" s="114"/>
      <c r="AC150" s="114"/>
      <c r="AD150" s="114"/>
      <c r="AH150" s="99">
        <v>130</v>
      </c>
      <c r="AI150" s="113" t="s">
        <v>4873</v>
      </c>
      <c r="AJ150" s="113">
        <v>65630227</v>
      </c>
      <c r="AK150" s="99">
        <v>0</v>
      </c>
      <c r="AL150" s="20">
        <f t="shared" si="37"/>
        <v>157</v>
      </c>
      <c r="AM150" s="117">
        <f t="shared" ref="AM150:AM177" si="44">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 t="shared" si="39"/>
        <v>254.88400876712333</v>
      </c>
      <c r="W151" s="32">
        <f t="shared" si="41"/>
        <v>259.98168894246578</v>
      </c>
      <c r="X151" s="32">
        <f t="shared" si="42"/>
        <v>265.07936911780826</v>
      </c>
      <c r="Z151" s="96"/>
      <c r="AA151" s="114"/>
      <c r="AC151" s="114"/>
      <c r="AH151" s="99">
        <v>131</v>
      </c>
      <c r="AI151" s="113" t="s">
        <v>4873</v>
      </c>
      <c r="AJ151" s="113">
        <v>-3500000</v>
      </c>
      <c r="AK151" s="99">
        <v>6</v>
      </c>
      <c r="AL151" s="20">
        <f t="shared" si="37"/>
        <v>157</v>
      </c>
      <c r="AM151" s="117">
        <f t="shared" si="44"/>
        <v>-549500000</v>
      </c>
      <c r="AN151" s="20" t="s">
        <v>4876</v>
      </c>
    </row>
    <row r="152" spans="6:44">
      <c r="G152">
        <v>1050</v>
      </c>
      <c r="H152" t="s">
        <v>4823</v>
      </c>
      <c r="Q152" s="169">
        <v>11990928</v>
      </c>
      <c r="R152" s="213" t="s">
        <v>5133</v>
      </c>
      <c r="S152" s="213">
        <f>S151-3</f>
        <v>50</v>
      </c>
      <c r="T152" s="213" t="s">
        <v>5261</v>
      </c>
      <c r="U152" s="213">
        <v>237.8</v>
      </c>
      <c r="V152" s="99">
        <f t="shared" si="39"/>
        <v>250.53565589041102</v>
      </c>
      <c r="W152" s="32">
        <f t="shared" si="41"/>
        <v>255.54636900821924</v>
      </c>
      <c r="X152" s="32">
        <f t="shared" si="42"/>
        <v>260.55708212602747</v>
      </c>
      <c r="Y152" t="s">
        <v>25</v>
      </c>
      <c r="Z152" s="96"/>
      <c r="AA152" s="114"/>
      <c r="AC152" s="114"/>
      <c r="AD152" s="114"/>
      <c r="AH152" s="99">
        <v>132</v>
      </c>
      <c r="AI152" s="113" t="s">
        <v>4887</v>
      </c>
      <c r="AJ152" s="113">
        <v>2520000</v>
      </c>
      <c r="AK152" s="99">
        <v>12</v>
      </c>
      <c r="AL152" s="20">
        <f t="shared" si="37"/>
        <v>151</v>
      </c>
      <c r="AM152" s="117">
        <f t="shared" si="44"/>
        <v>380520000</v>
      </c>
      <c r="AN152" s="20"/>
    </row>
    <row r="153" spans="6:44">
      <c r="Q153" s="169">
        <v>107962</v>
      </c>
      <c r="R153" s="213" t="s">
        <v>5143</v>
      </c>
      <c r="S153" s="213">
        <f>S152-3</f>
        <v>47</v>
      </c>
      <c r="T153" s="213" t="s">
        <v>5144</v>
      </c>
      <c r="U153" s="213">
        <v>707</v>
      </c>
      <c r="V153" s="99">
        <f t="shared" si="39"/>
        <v>743.23713972602752</v>
      </c>
      <c r="W153" s="32">
        <f t="shared" si="41"/>
        <v>758.10188252054809</v>
      </c>
      <c r="X153" s="32">
        <f t="shared" si="42"/>
        <v>772.96662531506865</v>
      </c>
      <c r="Y153" s="96" t="s">
        <v>25</v>
      </c>
      <c r="Z153" s="96"/>
      <c r="AH153" s="99">
        <v>133</v>
      </c>
      <c r="AI153" s="113" t="s">
        <v>4922</v>
      </c>
      <c r="AJ153" s="113">
        <v>1400000</v>
      </c>
      <c r="AK153" s="99">
        <v>4</v>
      </c>
      <c r="AL153" s="20">
        <f t="shared" si="37"/>
        <v>139</v>
      </c>
      <c r="AM153" s="117">
        <f t="shared" si="44"/>
        <v>194600000</v>
      </c>
      <c r="AN153" s="20"/>
    </row>
    <row r="154" spans="6:44">
      <c r="Q154" s="169">
        <v>111383</v>
      </c>
      <c r="R154" s="213" t="s">
        <v>5194</v>
      </c>
      <c r="S154" s="213">
        <f>S153-27</f>
        <v>20</v>
      </c>
      <c r="T154" s="213" t="s">
        <v>5195</v>
      </c>
      <c r="U154" s="213">
        <v>6160</v>
      </c>
      <c r="V154" s="99">
        <f t="shared" si="39"/>
        <v>6348.1415890410963</v>
      </c>
      <c r="W154" s="32">
        <f t="shared" si="41"/>
        <v>6475.1044208219182</v>
      </c>
      <c r="X154" s="32">
        <f t="shared" si="42"/>
        <v>6602.0672526027402</v>
      </c>
      <c r="Y154" s="122" t="s">
        <v>25</v>
      </c>
      <c r="Z154" s="96"/>
      <c r="AH154" s="99">
        <v>134</v>
      </c>
      <c r="AI154" s="113" t="s">
        <v>4947</v>
      </c>
      <c r="AJ154" s="113">
        <v>1550000</v>
      </c>
      <c r="AK154" s="99">
        <v>2</v>
      </c>
      <c r="AL154" s="20">
        <f t="shared" si="37"/>
        <v>135</v>
      </c>
      <c r="AM154" s="117">
        <f t="shared" si="44"/>
        <v>209250000</v>
      </c>
      <c r="AN154" s="20"/>
    </row>
    <row r="155" spans="6:44">
      <c r="Q155" s="169">
        <v>217263</v>
      </c>
      <c r="R155" s="213" t="s">
        <v>5212</v>
      </c>
      <c r="S155" s="213">
        <f>S154-6</f>
        <v>14</v>
      </c>
      <c r="T155" s="213" t="s">
        <v>5214</v>
      </c>
      <c r="U155" s="213">
        <v>6554</v>
      </c>
      <c r="V155" s="99">
        <f t="shared" si="39"/>
        <v>6724.0089643835627</v>
      </c>
      <c r="W155" s="32">
        <f t="shared" si="41"/>
        <v>6858.4891436712342</v>
      </c>
      <c r="X155" s="32">
        <f t="shared" si="42"/>
        <v>6992.9693229589057</v>
      </c>
      <c r="Y155" s="96"/>
      <c r="Z155" s="96"/>
      <c r="AH155" s="99">
        <v>135</v>
      </c>
      <c r="AI155" s="113" t="s">
        <v>4894</v>
      </c>
      <c r="AJ155" s="113">
        <v>250000</v>
      </c>
      <c r="AK155" s="99">
        <v>6</v>
      </c>
      <c r="AL155" s="20">
        <f t="shared" si="37"/>
        <v>133</v>
      </c>
      <c r="AM155" s="117">
        <f t="shared" si="44"/>
        <v>33250000</v>
      </c>
      <c r="AN155" s="20"/>
    </row>
    <row r="156" spans="6:44">
      <c r="Q156" s="169">
        <v>123799</v>
      </c>
      <c r="R156" s="213" t="s">
        <v>5224</v>
      </c>
      <c r="S156" s="213">
        <f>S155-3</f>
        <v>11</v>
      </c>
      <c r="T156" s="213" t="s">
        <v>5228</v>
      </c>
      <c r="U156" s="213">
        <v>790</v>
      </c>
      <c r="V156" s="99">
        <f t="shared" si="39"/>
        <v>808.67430136986309</v>
      </c>
      <c r="W156" s="32">
        <f t="shared" si="41"/>
        <v>824.84778739726039</v>
      </c>
      <c r="X156" s="32">
        <f t="shared" si="42"/>
        <v>841.02127342465769</v>
      </c>
      <c r="Y156" s="122" t="s">
        <v>25</v>
      </c>
      <c r="Z156" s="96"/>
      <c r="AH156" s="99">
        <v>136</v>
      </c>
      <c r="AI156" s="113" t="s">
        <v>4957</v>
      </c>
      <c r="AJ156" s="113">
        <v>-48527480</v>
      </c>
      <c r="AK156" s="99">
        <v>14</v>
      </c>
      <c r="AL156" s="20">
        <f t="shared" si="37"/>
        <v>127</v>
      </c>
      <c r="AM156" s="117">
        <f t="shared" si="44"/>
        <v>-6162989960</v>
      </c>
      <c r="AN156" s="20" t="s">
        <v>4959</v>
      </c>
    </row>
    <row r="157" spans="6:44">
      <c r="Q157" s="169">
        <v>46632</v>
      </c>
      <c r="R157" s="213" t="s">
        <v>5260</v>
      </c>
      <c r="S157" s="213">
        <f>S156-11</f>
        <v>0</v>
      </c>
      <c r="T157" s="213" t="s">
        <v>5275</v>
      </c>
      <c r="U157" s="213">
        <v>288.3</v>
      </c>
      <c r="V157" s="99">
        <f t="shared" si="39"/>
        <v>292.68216000000007</v>
      </c>
      <c r="W157" s="32">
        <f t="shared" si="41"/>
        <v>298.53580320000009</v>
      </c>
      <c r="X157" s="32">
        <f t="shared" si="42"/>
        <v>304.38944640000005</v>
      </c>
      <c r="Y157" s="96"/>
      <c r="Z157" s="96"/>
      <c r="AH157" s="99">
        <v>137</v>
      </c>
      <c r="AI157" s="113" t="s">
        <v>4984</v>
      </c>
      <c r="AJ157" s="113">
        <v>2100000</v>
      </c>
      <c r="AK157" s="99">
        <v>1</v>
      </c>
      <c r="AL157" s="20">
        <f t="shared" si="37"/>
        <v>113</v>
      </c>
      <c r="AM157" s="117">
        <f t="shared" si="44"/>
        <v>237300000</v>
      </c>
      <c r="AN157" s="20"/>
    </row>
    <row r="158" spans="6:44">
      <c r="Q158" s="169">
        <v>103105</v>
      </c>
      <c r="R158" s="213" t="s">
        <v>5271</v>
      </c>
      <c r="S158" s="213">
        <f>S157-1</f>
        <v>-1</v>
      </c>
      <c r="T158" s="213" t="s">
        <v>5272</v>
      </c>
      <c r="U158" s="213">
        <v>4665</v>
      </c>
      <c r="V158" s="99">
        <f t="shared" si="39"/>
        <v>4732.329369863015</v>
      </c>
      <c r="W158" s="32">
        <f t="shared" si="41"/>
        <v>4826.9759572602752</v>
      </c>
      <c r="X158" s="32">
        <f t="shared" si="42"/>
        <v>4921.6225446575354</v>
      </c>
      <c r="Y158" s="96"/>
      <c r="Z158" s="96"/>
      <c r="AH158" s="99">
        <v>138</v>
      </c>
      <c r="AI158" s="113" t="s">
        <v>4989</v>
      </c>
      <c r="AJ158" s="113">
        <v>100000</v>
      </c>
      <c r="AK158" s="99">
        <v>4</v>
      </c>
      <c r="AL158" s="20">
        <f>AL159+AK158</f>
        <v>112</v>
      </c>
      <c r="AM158" s="117">
        <f t="shared" si="44"/>
        <v>11200000</v>
      </c>
      <c r="AN158" s="20"/>
      <c r="AQ158" t="s">
        <v>25</v>
      </c>
    </row>
    <row r="159" spans="6:44">
      <c r="P159" s="114"/>
      <c r="Q159" s="169">
        <v>284013</v>
      </c>
      <c r="R159" s="213" t="s">
        <v>5273</v>
      </c>
      <c r="S159" s="213">
        <f>S158-1</f>
        <v>-2</v>
      </c>
      <c r="T159" s="213" t="s">
        <v>5274</v>
      </c>
      <c r="U159" s="213">
        <v>762</v>
      </c>
      <c r="V159" s="99">
        <f t="shared" si="39"/>
        <v>772.41330410958903</v>
      </c>
      <c r="W159" s="32">
        <f t="shared" si="41"/>
        <v>787.86157019178086</v>
      </c>
      <c r="X159" s="32">
        <f t="shared" si="42"/>
        <v>803.30983627397268</v>
      </c>
      <c r="Y159" s="96" t="s">
        <v>25</v>
      </c>
      <c r="Z159" s="96"/>
      <c r="AH159" s="99">
        <v>139</v>
      </c>
      <c r="AI159" s="113" t="s">
        <v>4996</v>
      </c>
      <c r="AJ159" s="113">
        <v>900000</v>
      </c>
      <c r="AK159" s="99">
        <v>0</v>
      </c>
      <c r="AL159" s="20">
        <f t="shared" ref="AL159:AL168" si="45">AL160+AK159</f>
        <v>108</v>
      </c>
      <c r="AM159" s="117">
        <f t="shared" ref="AM159:AM168" si="46">AJ159*AL159</f>
        <v>97200000</v>
      </c>
      <c r="AN159" s="20"/>
      <c r="AP159" t="s">
        <v>25</v>
      </c>
    </row>
    <row r="160" spans="6:44">
      <c r="P160" s="114"/>
      <c r="Q160" s="169"/>
      <c r="R160" s="213"/>
      <c r="S160" s="213"/>
      <c r="T160" s="213"/>
      <c r="U160" s="213"/>
      <c r="V160" s="99"/>
      <c r="W160" s="32"/>
      <c r="X160" s="32"/>
      <c r="Y160" s="96"/>
      <c r="AH160" s="99">
        <v>140</v>
      </c>
      <c r="AI160" s="113" t="s">
        <v>4996</v>
      </c>
      <c r="AJ160" s="113">
        <v>1100000</v>
      </c>
      <c r="AK160" s="99">
        <v>0</v>
      </c>
      <c r="AL160" s="20">
        <f t="shared" si="45"/>
        <v>108</v>
      </c>
      <c r="AM160" s="117">
        <f t="shared" si="46"/>
        <v>118800000</v>
      </c>
      <c r="AN160" s="20" t="s">
        <v>5015</v>
      </c>
      <c r="AQ160" t="s">
        <v>25</v>
      </c>
    </row>
    <row r="161" spans="15:43">
      <c r="P161" s="114"/>
      <c r="Q161" s="169"/>
      <c r="R161" s="168"/>
      <c r="S161" s="168"/>
      <c r="T161" s="168"/>
      <c r="U161" s="168"/>
      <c r="V161" s="99">
        <f t="shared" si="39"/>
        <v>0</v>
      </c>
      <c r="W161" s="32">
        <f t="shared" si="35"/>
        <v>0</v>
      </c>
      <c r="X161" s="32">
        <f t="shared" si="36"/>
        <v>0</v>
      </c>
      <c r="Y161" s="96"/>
      <c r="AH161" s="99">
        <v>141</v>
      </c>
      <c r="AI161" s="113" t="s">
        <v>4996</v>
      </c>
      <c r="AJ161" s="113">
        <v>115000</v>
      </c>
      <c r="AK161" s="99"/>
      <c r="AL161" s="20">
        <f t="shared" si="45"/>
        <v>108</v>
      </c>
      <c r="AM161" s="117">
        <f t="shared" si="46"/>
        <v>12420000</v>
      </c>
      <c r="AN161" s="20"/>
      <c r="AQ161" t="s">
        <v>25</v>
      </c>
    </row>
    <row r="162" spans="15:43">
      <c r="Q162" s="113">
        <f>SUM(N47:N53)-SUM(Q108:Q161)</f>
        <v>280641783</v>
      </c>
      <c r="R162" s="112"/>
      <c r="S162" s="112"/>
      <c r="T162" s="112"/>
      <c r="U162" s="168"/>
      <c r="V162" s="99" t="s">
        <v>25</v>
      </c>
      <c r="W162" s="32"/>
      <c r="X162" s="32"/>
      <c r="Y162" s="96"/>
      <c r="AH162" s="99">
        <v>142</v>
      </c>
      <c r="AI162" s="113" t="s">
        <v>5006</v>
      </c>
      <c r="AJ162" s="113">
        <v>-1100000</v>
      </c>
      <c r="AK162" s="99"/>
      <c r="AL162" s="20">
        <f t="shared" si="45"/>
        <v>108</v>
      </c>
      <c r="AM162" s="117">
        <f t="shared" si="46"/>
        <v>-118800000</v>
      </c>
      <c r="AN162" s="20" t="s">
        <v>5016</v>
      </c>
      <c r="AQ162" t="s">
        <v>25</v>
      </c>
    </row>
    <row r="163" spans="15:43">
      <c r="Q163" s="26"/>
      <c r="R163" s="181"/>
      <c r="S163" s="181"/>
      <c r="T163" t="s">
        <v>25</v>
      </c>
      <c r="U163" s="96" t="s">
        <v>25</v>
      </c>
      <c r="V163" s="96" t="s">
        <v>25</v>
      </c>
      <c r="W163" s="96" t="s">
        <v>25</v>
      </c>
      <c r="Y163" s="96"/>
      <c r="AH163" s="99">
        <v>143</v>
      </c>
      <c r="AI163" s="113" t="s">
        <v>5006</v>
      </c>
      <c r="AJ163" s="113">
        <v>900000</v>
      </c>
      <c r="AK163" s="99">
        <v>1</v>
      </c>
      <c r="AL163" s="20">
        <f t="shared" si="45"/>
        <v>108</v>
      </c>
      <c r="AM163" s="117">
        <f t="shared" si="46"/>
        <v>97200000</v>
      </c>
      <c r="AN163" s="20" t="s">
        <v>5015</v>
      </c>
    </row>
    <row r="164" spans="15:43">
      <c r="R164" s="32" t="s">
        <v>4566</v>
      </c>
      <c r="S164" s="32" t="s">
        <v>949</v>
      </c>
      <c r="T164" t="s">
        <v>25</v>
      </c>
      <c r="U164" s="96" t="s">
        <v>25</v>
      </c>
      <c r="V164" s="96" t="s">
        <v>25</v>
      </c>
      <c r="W164" s="96" t="s">
        <v>25</v>
      </c>
      <c r="X164" s="122" t="s">
        <v>25</v>
      </c>
      <c r="Y164" s="96"/>
      <c r="AH164" s="99">
        <v>144</v>
      </c>
      <c r="AI164" s="113" t="s">
        <v>5013</v>
      </c>
      <c r="AJ164" s="113">
        <v>2000000</v>
      </c>
      <c r="AK164" s="99">
        <v>0</v>
      </c>
      <c r="AL164" s="20">
        <f t="shared" si="45"/>
        <v>107</v>
      </c>
      <c r="AM164" s="117">
        <f t="shared" si="46"/>
        <v>214000000</v>
      </c>
      <c r="AN164" s="20"/>
    </row>
    <row r="165" spans="15:43">
      <c r="P165" s="114"/>
      <c r="R165" s="32">
        <v>1161</v>
      </c>
      <c r="S165" s="234">
        <v>336269</v>
      </c>
      <c r="U165" s="96" t="s">
        <v>25</v>
      </c>
      <c r="V165" s="122" t="s">
        <v>25</v>
      </c>
      <c r="W165" s="96" t="s">
        <v>25</v>
      </c>
      <c r="X165" t="s">
        <v>25</v>
      </c>
      <c r="Y165" s="96"/>
      <c r="AH165" s="99">
        <v>145</v>
      </c>
      <c r="AI165" s="113" t="s">
        <v>5013</v>
      </c>
      <c r="AJ165" s="113">
        <v>360000</v>
      </c>
      <c r="AK165" s="99">
        <v>1</v>
      </c>
      <c r="AL165" s="20">
        <f t="shared" si="45"/>
        <v>107</v>
      </c>
      <c r="AM165" s="117">
        <f t="shared" si="46"/>
        <v>38520000</v>
      </c>
      <c r="AN165" s="20"/>
    </row>
    <row r="166" spans="15:43">
      <c r="P166">
        <f>R173+37</f>
        <v>1590619</v>
      </c>
      <c r="Q166" t="s">
        <v>25</v>
      </c>
      <c r="R166" s="32">
        <v>1000</v>
      </c>
      <c r="S166" s="1">
        <f>S165*R166/R165</f>
        <v>289637.38156761415</v>
      </c>
      <c r="U166" s="96" t="s">
        <v>25</v>
      </c>
      <c r="V166" s="122" t="s">
        <v>25</v>
      </c>
      <c r="W166" s="96" t="s">
        <v>25</v>
      </c>
      <c r="X166" t="s">
        <v>25</v>
      </c>
      <c r="Y166" t="s">
        <v>25</v>
      </c>
      <c r="AH166" s="99">
        <v>146</v>
      </c>
      <c r="AI166" s="113" t="s">
        <v>5014</v>
      </c>
      <c r="AJ166" s="113">
        <v>3000000</v>
      </c>
      <c r="AK166" s="99">
        <v>1</v>
      </c>
      <c r="AL166" s="20">
        <f t="shared" si="45"/>
        <v>106</v>
      </c>
      <c r="AM166" s="117">
        <f t="shared" si="46"/>
        <v>318000000</v>
      </c>
      <c r="AN166" s="20"/>
    </row>
    <row r="167" spans="15:43">
      <c r="P167" s="114"/>
      <c r="R167" s="32">
        <f>R165-R166</f>
        <v>161</v>
      </c>
      <c r="S167" s="1">
        <f>R167*S165/R165</f>
        <v>46631.618432385876</v>
      </c>
      <c r="T167" t="s">
        <v>25</v>
      </c>
      <c r="U167" s="122" t="s">
        <v>25</v>
      </c>
      <c r="V167" s="96"/>
      <c r="W167"/>
      <c r="X167" t="s">
        <v>25</v>
      </c>
      <c r="AH167" s="99">
        <v>147</v>
      </c>
      <c r="AI167" s="113" t="s">
        <v>5011</v>
      </c>
      <c r="AJ167" s="113">
        <v>-658226</v>
      </c>
      <c r="AK167" s="99">
        <v>1</v>
      </c>
      <c r="AL167" s="20">
        <f t="shared" si="45"/>
        <v>105</v>
      </c>
      <c r="AM167" s="117">
        <f t="shared" si="46"/>
        <v>-69113730</v>
      </c>
      <c r="AN167" s="20"/>
    </row>
    <row r="168" spans="15:43">
      <c r="O168" s="96"/>
      <c r="V168" s="96"/>
      <c r="W168"/>
      <c r="X168" t="s">
        <v>25</v>
      </c>
      <c r="Y168" t="s">
        <v>25</v>
      </c>
      <c r="AH168" s="99">
        <v>148</v>
      </c>
      <c r="AI168" s="113" t="s">
        <v>5017</v>
      </c>
      <c r="AJ168" s="113">
        <v>1000000</v>
      </c>
      <c r="AK168" s="99">
        <v>15</v>
      </c>
      <c r="AL168" s="20">
        <f t="shared" si="45"/>
        <v>104</v>
      </c>
      <c r="AM168" s="117">
        <f t="shared" si="46"/>
        <v>104000000</v>
      </c>
      <c r="AN168" s="20"/>
      <c r="AP168" t="s">
        <v>25</v>
      </c>
    </row>
    <row r="169" spans="15:43">
      <c r="O169" s="96"/>
      <c r="Q169" s="99" t="s">
        <v>4456</v>
      </c>
      <c r="R169" s="99" t="s">
        <v>4458</v>
      </c>
      <c r="S169" s="99"/>
      <c r="T169" s="99" t="s">
        <v>4459</v>
      </c>
      <c r="U169" s="99"/>
      <c r="V169" s="99"/>
      <c r="W169" s="99" t="s">
        <v>4569</v>
      </c>
      <c r="AH169" s="99">
        <v>149</v>
      </c>
      <c r="AI169" s="113" t="s">
        <v>5057</v>
      </c>
      <c r="AJ169" s="113">
        <v>1130250</v>
      </c>
      <c r="AK169" s="99">
        <v>5</v>
      </c>
      <c r="AL169" s="20">
        <f t="shared" si="37"/>
        <v>89</v>
      </c>
      <c r="AM169" s="117">
        <f t="shared" si="44"/>
        <v>100592250</v>
      </c>
      <c r="AN169" s="20"/>
    </row>
    <row r="170" spans="15:43">
      <c r="Q170" s="113">
        <v>1000</v>
      </c>
      <c r="R170" s="99">
        <v>0.25</v>
      </c>
      <c r="S170" s="99"/>
      <c r="T170" s="99">
        <f>1-R170</f>
        <v>0.75</v>
      </c>
      <c r="U170" s="99"/>
      <c r="V170" s="99"/>
      <c r="W170" s="99"/>
      <c r="Y170" t="s">
        <v>25</v>
      </c>
      <c r="AE170" s="96" t="s">
        <v>25</v>
      </c>
      <c r="AH170" s="99">
        <v>150</v>
      </c>
      <c r="AI170" s="113" t="s">
        <v>5073</v>
      </c>
      <c r="AJ170" s="113">
        <v>206000</v>
      </c>
      <c r="AK170" s="99">
        <v>2</v>
      </c>
      <c r="AL170" s="20">
        <f t="shared" si="37"/>
        <v>84</v>
      </c>
      <c r="AM170" s="117">
        <f t="shared" si="44"/>
        <v>17304000</v>
      </c>
      <c r="AN170" s="20"/>
    </row>
    <row r="171" spans="15:43">
      <c r="Q171" s="168" t="s">
        <v>4443</v>
      </c>
      <c r="R171" s="168" t="s">
        <v>4461</v>
      </c>
      <c r="S171" s="168" t="s">
        <v>4463</v>
      </c>
      <c r="T171" s="168"/>
      <c r="U171" s="168" t="s">
        <v>4457</v>
      </c>
      <c r="V171" s="56" t="s">
        <v>4460</v>
      </c>
      <c r="W171" s="99"/>
      <c r="X171" s="8" t="s">
        <v>25</v>
      </c>
      <c r="AH171" s="99">
        <v>151</v>
      </c>
      <c r="AI171" s="113" t="s">
        <v>5080</v>
      </c>
      <c r="AJ171" s="113">
        <v>50000</v>
      </c>
      <c r="AK171" s="99">
        <v>2</v>
      </c>
      <c r="AL171" s="20">
        <f t="shared" si="37"/>
        <v>82</v>
      </c>
      <c r="AM171" s="117">
        <f t="shared" si="44"/>
        <v>4100000</v>
      </c>
      <c r="AN171" s="20"/>
    </row>
    <row r="172" spans="15:43">
      <c r="Q172" s="168" t="s">
        <v>751</v>
      </c>
      <c r="R172" s="56">
        <v>1751364</v>
      </c>
      <c r="S172" s="113">
        <f>R172*$T$297</f>
        <v>792282633.36099327</v>
      </c>
      <c r="T172" s="168"/>
      <c r="U172" s="168">
        <f>$Q$170*$T$170*S172/$R$199</f>
        <v>365.79713276880608</v>
      </c>
      <c r="V172" s="95">
        <f>S172+U172</f>
        <v>792282999.158126</v>
      </c>
      <c r="W172" s="99">
        <f>R172*100/U294</f>
        <v>48.772951035840805</v>
      </c>
      <c r="X172" s="217"/>
      <c r="AH172" s="99">
        <v>152</v>
      </c>
      <c r="AI172" s="113" t="s">
        <v>5087</v>
      </c>
      <c r="AJ172" s="113">
        <v>105000</v>
      </c>
      <c r="AK172" s="99">
        <v>4</v>
      </c>
      <c r="AL172" s="20">
        <f t="shared" si="37"/>
        <v>80</v>
      </c>
      <c r="AM172" s="117">
        <f t="shared" si="44"/>
        <v>8400000</v>
      </c>
      <c r="AN172" s="20"/>
    </row>
    <row r="173" spans="15:43">
      <c r="Q173" s="168" t="s">
        <v>4445</v>
      </c>
      <c r="R173" s="56">
        <v>1590582</v>
      </c>
      <c r="S173" s="113">
        <f>R173*$T$297</f>
        <v>719548018.30835581</v>
      </c>
      <c r="T173" s="168"/>
      <c r="U173" s="213">
        <f>$Q$170*$T$170*S173/$R$199</f>
        <v>332.21553887922386</v>
      </c>
      <c r="V173" s="95">
        <f t="shared" ref="V173:V174" si="47">S173+U173</f>
        <v>719548350.52389467</v>
      </c>
      <c r="W173" s="99">
        <f>R173*100/U294</f>
        <v>44.29540518389652</v>
      </c>
      <c r="X173" s="115"/>
      <c r="AH173" s="99">
        <v>153</v>
      </c>
      <c r="AI173" s="113" t="s">
        <v>5092</v>
      </c>
      <c r="AJ173" s="113">
        <v>5000000</v>
      </c>
      <c r="AK173" s="99">
        <v>1</v>
      </c>
      <c r="AL173" s="20">
        <f t="shared" si="37"/>
        <v>76</v>
      </c>
      <c r="AM173" s="117">
        <f t="shared" si="44"/>
        <v>380000000</v>
      </c>
      <c r="AN173" s="20"/>
    </row>
    <row r="174" spans="15:43">
      <c r="Q174" s="168" t="s">
        <v>4444</v>
      </c>
      <c r="R174" s="56">
        <v>52617</v>
      </c>
      <c r="S174" s="113">
        <f>R174*$T$297</f>
        <v>23802896.096731108</v>
      </c>
      <c r="T174" s="168"/>
      <c r="U174" s="213">
        <f>$Q$170*$T$170*S174/$R$199</f>
        <v>10.989804366708617</v>
      </c>
      <c r="V174" s="95">
        <f t="shared" si="47"/>
        <v>23802907.086535476</v>
      </c>
      <c r="W174" s="99">
        <f>R174*100/U294</f>
        <v>1.4653072488944821</v>
      </c>
      <c r="X174" s="115"/>
      <c r="AH174" s="99">
        <v>154</v>
      </c>
      <c r="AI174" s="113" t="s">
        <v>5093</v>
      </c>
      <c r="AJ174" s="113">
        <v>2500000</v>
      </c>
      <c r="AK174" s="99">
        <v>2</v>
      </c>
      <c r="AL174" s="20">
        <f t="shared" si="37"/>
        <v>75</v>
      </c>
      <c r="AM174" s="117">
        <f t="shared" si="44"/>
        <v>187500000</v>
      </c>
      <c r="AN174" s="20"/>
    </row>
    <row r="175" spans="15:43">
      <c r="Q175" s="168" t="s">
        <v>1086</v>
      </c>
      <c r="R175" s="56">
        <v>196288</v>
      </c>
      <c r="S175" s="113">
        <f>R175*$T$297</f>
        <v>88796831.233919755</v>
      </c>
      <c r="T175" s="168"/>
      <c r="U175" s="213">
        <f>$Q$170*$T$170*S175/$R$199</f>
        <v>40.997523985261431</v>
      </c>
      <c r="V175" s="95">
        <f>S175+U175</f>
        <v>88796872.231443733</v>
      </c>
      <c r="W175" s="99">
        <f>R175*100/U294</f>
        <v>5.4663365313681913</v>
      </c>
      <c r="X175" s="115"/>
      <c r="AH175" s="270">
        <v>155</v>
      </c>
      <c r="AI175" s="266" t="s">
        <v>5100</v>
      </c>
      <c r="AJ175" s="266">
        <v>-50000000</v>
      </c>
      <c r="AK175" s="270">
        <v>7</v>
      </c>
      <c r="AL175" s="270">
        <f t="shared" si="37"/>
        <v>73</v>
      </c>
      <c r="AM175" s="266">
        <f t="shared" si="44"/>
        <v>-3650000000</v>
      </c>
      <c r="AN175" s="270" t="s">
        <v>5109</v>
      </c>
    </row>
    <row r="176" spans="15:43">
      <c r="Q176" s="168"/>
      <c r="R176" s="56"/>
      <c r="S176" s="168"/>
      <c r="T176" s="168"/>
      <c r="U176" s="168"/>
      <c r="V176" s="168"/>
      <c r="W176" s="99"/>
      <c r="X176" s="96"/>
      <c r="AH176" s="99">
        <v>156</v>
      </c>
      <c r="AI176" s="113" t="s">
        <v>5107</v>
      </c>
      <c r="AJ176" s="113">
        <v>10000000</v>
      </c>
      <c r="AK176" s="99">
        <v>12</v>
      </c>
      <c r="AL176" s="20">
        <f t="shared" si="37"/>
        <v>66</v>
      </c>
      <c r="AM176" s="117">
        <f t="shared" si="44"/>
        <v>660000000</v>
      </c>
      <c r="AN176" s="20" t="s">
        <v>4755</v>
      </c>
    </row>
    <row r="177" spans="17:44">
      <c r="Q177" s="168"/>
      <c r="R177" s="168"/>
      <c r="S177" s="168"/>
      <c r="T177" s="168"/>
      <c r="U177" s="168"/>
      <c r="V177" s="168"/>
      <c r="W177" s="99"/>
      <c r="X177" s="96"/>
      <c r="AH177" s="99">
        <v>157</v>
      </c>
      <c r="AI177" s="113" t="s">
        <v>5116</v>
      </c>
      <c r="AJ177" s="113">
        <v>-16266000</v>
      </c>
      <c r="AK177" s="99">
        <v>1</v>
      </c>
      <c r="AL177" s="20">
        <f t="shared" si="37"/>
        <v>54</v>
      </c>
      <c r="AM177" s="117">
        <f t="shared" si="44"/>
        <v>-878364000</v>
      </c>
      <c r="AN177" s="20" t="s">
        <v>5131</v>
      </c>
      <c r="AQ177" t="s">
        <v>25</v>
      </c>
    </row>
    <row r="178" spans="17:44">
      <c r="Q178" s="99"/>
      <c r="R178" s="99"/>
      <c r="S178" s="99"/>
      <c r="T178" s="99" t="s">
        <v>25</v>
      </c>
      <c r="U178" s="99"/>
      <c r="V178" s="99"/>
      <c r="W178" s="99"/>
      <c r="X178" s="96"/>
      <c r="AH178" s="99">
        <v>158</v>
      </c>
      <c r="AI178" s="113" t="s">
        <v>5132</v>
      </c>
      <c r="AJ178" s="113">
        <v>1000000</v>
      </c>
      <c r="AK178" s="99">
        <v>6</v>
      </c>
      <c r="AL178" s="20">
        <f t="shared" ref="AL178:AL196" si="48">AL179+AK178</f>
        <v>53</v>
      </c>
      <c r="AM178" s="117">
        <f t="shared" ref="AM178:AM196" si="49">AJ178*AL178</f>
        <v>53000000</v>
      </c>
      <c r="AN178" s="20"/>
    </row>
    <row r="179" spans="17:44">
      <c r="Q179" s="99"/>
      <c r="R179" s="99"/>
      <c r="S179" s="99"/>
      <c r="T179" s="99"/>
      <c r="U179" s="99"/>
      <c r="V179" s="99"/>
      <c r="W179" s="99"/>
      <c r="X179" s="96"/>
      <c r="Y179" t="s">
        <v>25</v>
      </c>
      <c r="AH179" s="99">
        <v>159</v>
      </c>
      <c r="AI179" s="113" t="s">
        <v>5143</v>
      </c>
      <c r="AJ179" s="113">
        <v>40000</v>
      </c>
      <c r="AK179" s="99">
        <v>5</v>
      </c>
      <c r="AL179" s="20">
        <f t="shared" si="48"/>
        <v>47</v>
      </c>
      <c r="AM179" s="117">
        <f t="shared" si="49"/>
        <v>1880000</v>
      </c>
      <c r="AN179" s="20"/>
    </row>
    <row r="180" spans="17:44">
      <c r="Q180" s="99"/>
      <c r="R180" s="99"/>
      <c r="S180" s="99"/>
      <c r="T180" s="99"/>
      <c r="U180" s="99"/>
      <c r="V180" s="99"/>
      <c r="W180" s="99"/>
      <c r="X180" s="96"/>
      <c r="AH180" s="99">
        <v>160</v>
      </c>
      <c r="AI180" s="113" t="s">
        <v>5156</v>
      </c>
      <c r="AJ180" s="113">
        <v>120000</v>
      </c>
      <c r="AK180" s="99">
        <v>6</v>
      </c>
      <c r="AL180" s="20">
        <f t="shared" si="48"/>
        <v>42</v>
      </c>
      <c r="AM180" s="117">
        <f t="shared" si="49"/>
        <v>5040000</v>
      </c>
      <c r="AN180" s="20"/>
    </row>
    <row r="181" spans="17:44">
      <c r="Q181" s="96"/>
      <c r="R181" s="96"/>
      <c r="S181" s="96"/>
      <c r="T181" s="96"/>
      <c r="V181" s="96"/>
      <c r="X181" s="115"/>
      <c r="Y181" t="s">
        <v>25</v>
      </c>
      <c r="AH181" s="99">
        <v>161</v>
      </c>
      <c r="AI181" s="113" t="s">
        <v>5149</v>
      </c>
      <c r="AJ181" s="113">
        <v>249000</v>
      </c>
      <c r="AK181" s="99">
        <v>9</v>
      </c>
      <c r="AL181" s="20">
        <f t="shared" si="48"/>
        <v>36</v>
      </c>
      <c r="AM181" s="117">
        <f t="shared" si="49"/>
        <v>8964000</v>
      </c>
      <c r="AN181" s="20"/>
    </row>
    <row r="182" spans="17:44">
      <c r="Q182" s="99" t="s">
        <v>5051</v>
      </c>
      <c r="R182" s="95">
        <f>S172-R187</f>
        <v>206309531.56099331</v>
      </c>
      <c r="S182" s="96"/>
      <c r="T182" s="96"/>
      <c r="V182" s="96"/>
      <c r="Y182" t="s">
        <v>25</v>
      </c>
      <c r="AH182" s="99">
        <v>162</v>
      </c>
      <c r="AI182" s="113" t="s">
        <v>5180</v>
      </c>
      <c r="AJ182" s="113">
        <v>65000</v>
      </c>
      <c r="AK182" s="99">
        <v>7</v>
      </c>
      <c r="AL182" s="20">
        <f t="shared" ref="AL182" si="50">AL183+AK182</f>
        <v>27</v>
      </c>
      <c r="AM182" s="117">
        <f t="shared" ref="AM182" si="51">AJ182*AL182</f>
        <v>1755000</v>
      </c>
      <c r="AN182" s="20"/>
    </row>
    <row r="183" spans="17:44">
      <c r="Q183" s="99" t="s">
        <v>5052</v>
      </c>
      <c r="R183" s="95">
        <f>S175+S174-R188</f>
        <v>11935489.130650863</v>
      </c>
      <c r="S183" s="96"/>
      <c r="T183" s="96" t="s">
        <v>25</v>
      </c>
      <c r="V183" s="96"/>
      <c r="AH183" s="99">
        <v>163</v>
      </c>
      <c r="AI183" s="113" t="s">
        <v>5194</v>
      </c>
      <c r="AJ183" s="113">
        <v>-312598</v>
      </c>
      <c r="AK183" s="99">
        <v>0</v>
      </c>
      <c r="AL183" s="20">
        <f t="shared" ref="AL183:AL195" si="52">AL184+AK183</f>
        <v>20</v>
      </c>
      <c r="AM183" s="117">
        <f t="shared" ref="AM183:AM195" si="53">AJ183*AL183</f>
        <v>-6251960</v>
      </c>
      <c r="AN183" s="20"/>
      <c r="AO183" t="s">
        <v>25</v>
      </c>
      <c r="AQ183" t="s">
        <v>25</v>
      </c>
    </row>
    <row r="184" spans="17:44">
      <c r="Q184" s="96"/>
      <c r="R184" s="96"/>
      <c r="S184" s="96"/>
      <c r="T184" s="96"/>
      <c r="V184" s="96"/>
      <c r="AH184" s="99">
        <v>164</v>
      </c>
      <c r="AI184" s="113" t="s">
        <v>5194</v>
      </c>
      <c r="AJ184" s="113">
        <v>50000</v>
      </c>
      <c r="AK184" s="99">
        <v>6</v>
      </c>
      <c r="AL184" s="20">
        <f t="shared" si="52"/>
        <v>20</v>
      </c>
      <c r="AM184" s="117">
        <f t="shared" si="53"/>
        <v>1000000</v>
      </c>
      <c r="AN184" s="20"/>
      <c r="AR184" t="s">
        <v>25</v>
      </c>
    </row>
    <row r="185" spans="17:44">
      <c r="Q185" s="96"/>
      <c r="R185" s="96"/>
      <c r="S185" s="96"/>
      <c r="T185" s="99" t="s">
        <v>180</v>
      </c>
      <c r="U185" s="99" t="s">
        <v>4479</v>
      </c>
      <c r="V185" s="99" t="s">
        <v>4480</v>
      </c>
      <c r="W185" s="99" t="s">
        <v>4490</v>
      </c>
      <c r="X185" s="99" t="s">
        <v>8</v>
      </c>
      <c r="AH185" s="99">
        <v>165</v>
      </c>
      <c r="AI185" s="113" t="s">
        <v>5212</v>
      </c>
      <c r="AJ185" s="113">
        <v>-200000</v>
      </c>
      <c r="AK185" s="99">
        <v>0</v>
      </c>
      <c r="AL185" s="20">
        <f t="shared" si="52"/>
        <v>14</v>
      </c>
      <c r="AM185" s="117">
        <f t="shared" si="53"/>
        <v>-2800000</v>
      </c>
      <c r="AN185" s="20" t="s">
        <v>5213</v>
      </c>
    </row>
    <row r="186" spans="17:44">
      <c r="Q186" s="36" t="s">
        <v>4565</v>
      </c>
      <c r="R186" s="95">
        <f>SUM(N47:N53)</f>
        <v>937788938</v>
      </c>
      <c r="T186" s="113" t="s">
        <v>4455</v>
      </c>
      <c r="U186" s="56">
        <v>1000000</v>
      </c>
      <c r="V186" s="113">
        <v>239.024</v>
      </c>
      <c r="W186" s="113">
        <f t="shared" ref="W186:W287" si="54">U186*V186</f>
        <v>239024000</v>
      </c>
      <c r="X186" s="99"/>
      <c r="AH186" s="99">
        <v>166</v>
      </c>
      <c r="AI186" s="113" t="s">
        <v>5212</v>
      </c>
      <c r="AJ186" s="113">
        <v>200000</v>
      </c>
      <c r="AK186" s="99">
        <v>3</v>
      </c>
      <c r="AL186" s="20">
        <f t="shared" si="52"/>
        <v>14</v>
      </c>
      <c r="AM186" s="117">
        <f t="shared" si="53"/>
        <v>2800000</v>
      </c>
      <c r="AN186" s="20"/>
      <c r="AQ186" t="s">
        <v>25</v>
      </c>
      <c r="AR186" t="s">
        <v>25</v>
      </c>
    </row>
    <row r="187" spans="17:44">
      <c r="Q187" s="99" t="s">
        <v>4446</v>
      </c>
      <c r="R187" s="95">
        <f>SUM(N21:N28)</f>
        <v>585973101.79999995</v>
      </c>
      <c r="T187" s="168" t="s">
        <v>4437</v>
      </c>
      <c r="U187" s="56">
        <v>5904</v>
      </c>
      <c r="V187" s="113">
        <v>237.148</v>
      </c>
      <c r="W187" s="113">
        <f t="shared" si="54"/>
        <v>1400121.7919999999</v>
      </c>
      <c r="X187" s="99" t="s">
        <v>751</v>
      </c>
      <c r="Z187" t="s">
        <v>25</v>
      </c>
      <c r="AH187" s="99">
        <v>167</v>
      </c>
      <c r="AI187" s="113" t="s">
        <v>5224</v>
      </c>
      <c r="AJ187" s="113">
        <v>200000</v>
      </c>
      <c r="AK187" s="99">
        <v>3</v>
      </c>
      <c r="AL187" s="20">
        <f t="shared" si="52"/>
        <v>11</v>
      </c>
      <c r="AM187" s="117">
        <f t="shared" si="53"/>
        <v>2200000</v>
      </c>
      <c r="AN187" s="20"/>
    </row>
    <row r="188" spans="17:44">
      <c r="Q188" s="99" t="s">
        <v>4447</v>
      </c>
      <c r="R188" s="95">
        <f>SUM(N31:N34)</f>
        <v>100664238.2</v>
      </c>
      <c r="T188" s="168" t="s">
        <v>4230</v>
      </c>
      <c r="U188" s="168">
        <v>1000</v>
      </c>
      <c r="V188" s="113">
        <v>247.393</v>
      </c>
      <c r="W188" s="113">
        <f t="shared" si="54"/>
        <v>247393</v>
      </c>
      <c r="X188" s="99" t="s">
        <v>751</v>
      </c>
      <c r="AH188" s="99">
        <v>168</v>
      </c>
      <c r="AI188" s="113" t="s">
        <v>5230</v>
      </c>
      <c r="AJ188" s="113">
        <v>30000</v>
      </c>
      <c r="AK188" s="99">
        <v>7</v>
      </c>
      <c r="AL188" s="20">
        <f t="shared" si="52"/>
        <v>8</v>
      </c>
      <c r="AM188" s="117">
        <f t="shared" si="53"/>
        <v>240000</v>
      </c>
      <c r="AN188" s="20"/>
    </row>
    <row r="189" spans="17:44">
      <c r="Q189" s="99" t="s">
        <v>4448</v>
      </c>
      <c r="R189" s="95">
        <f>N45</f>
        <v>29</v>
      </c>
      <c r="T189" s="168" t="s">
        <v>4491</v>
      </c>
      <c r="U189" s="168">
        <v>8071</v>
      </c>
      <c r="V189" s="113">
        <v>247.797</v>
      </c>
      <c r="W189" s="113">
        <f t="shared" si="54"/>
        <v>1999969.5870000001</v>
      </c>
      <c r="X189" s="99" t="s">
        <v>4444</v>
      </c>
      <c r="AH189" s="99">
        <v>169</v>
      </c>
      <c r="AI189" s="113" t="s">
        <v>5168</v>
      </c>
      <c r="AJ189" s="113">
        <v>-10000000</v>
      </c>
      <c r="AK189" s="99">
        <v>0</v>
      </c>
      <c r="AL189" s="20">
        <f t="shared" si="52"/>
        <v>1</v>
      </c>
      <c r="AM189" s="117">
        <f t="shared" si="53"/>
        <v>-10000000</v>
      </c>
      <c r="AN189" s="20" t="s">
        <v>5109</v>
      </c>
    </row>
    <row r="190" spans="17:44">
      <c r="Q190" s="99" t="s">
        <v>4449</v>
      </c>
      <c r="R190" s="95">
        <f>N20</f>
        <v>507</v>
      </c>
      <c r="T190" s="168" t="s">
        <v>4491</v>
      </c>
      <c r="U190" s="168">
        <v>53672</v>
      </c>
      <c r="V190" s="113">
        <v>247.797</v>
      </c>
      <c r="W190" s="113">
        <f t="shared" si="54"/>
        <v>13299760.584000001</v>
      </c>
      <c r="X190" s="99" t="s">
        <v>452</v>
      </c>
      <c r="AH190" s="99">
        <v>170</v>
      </c>
      <c r="AI190" s="113" t="s">
        <v>5168</v>
      </c>
      <c r="AJ190" s="113">
        <v>6000000</v>
      </c>
      <c r="AK190" s="99">
        <v>1</v>
      </c>
      <c r="AL190" s="20">
        <f t="shared" si="52"/>
        <v>1</v>
      </c>
      <c r="AM190" s="117">
        <f t="shared" si="53"/>
        <v>6000000</v>
      </c>
      <c r="AN190" s="20"/>
      <c r="AP190" t="s">
        <v>25</v>
      </c>
    </row>
    <row r="191" spans="17:44">
      <c r="Q191" s="99" t="s">
        <v>4450</v>
      </c>
      <c r="R191" s="95">
        <f>N30</f>
        <v>3565</v>
      </c>
      <c r="T191" s="168" t="s">
        <v>4499</v>
      </c>
      <c r="U191" s="168">
        <v>4099</v>
      </c>
      <c r="V191" s="113">
        <v>243.93</v>
      </c>
      <c r="W191" s="113">
        <f t="shared" si="54"/>
        <v>999869.07000000007</v>
      </c>
      <c r="X191" s="99" t="s">
        <v>4444</v>
      </c>
      <c r="Y191" t="s">
        <v>25</v>
      </c>
      <c r="AH191" s="99"/>
      <c r="AI191" s="113"/>
      <c r="AJ191" s="113"/>
      <c r="AK191" s="99">
        <v>0</v>
      </c>
      <c r="AL191" s="20">
        <f t="shared" si="52"/>
        <v>0</v>
      </c>
      <c r="AM191" s="117">
        <f t="shared" si="53"/>
        <v>0</v>
      </c>
      <c r="AN191" s="20"/>
    </row>
    <row r="192" spans="17:44">
      <c r="Q192" s="99" t="s">
        <v>4462</v>
      </c>
      <c r="R192" s="95">
        <v>0</v>
      </c>
      <c r="T192" s="168" t="s">
        <v>4499</v>
      </c>
      <c r="U192" s="168">
        <v>9301</v>
      </c>
      <c r="V192" s="113">
        <v>243.93</v>
      </c>
      <c r="W192" s="113">
        <f t="shared" si="54"/>
        <v>2268792.9300000002</v>
      </c>
      <c r="X192" s="99" t="s">
        <v>452</v>
      </c>
      <c r="AH192" s="99"/>
      <c r="AI192" s="113"/>
      <c r="AJ192" s="113"/>
      <c r="AK192" s="99"/>
      <c r="AL192" s="20">
        <f t="shared" si="52"/>
        <v>0</v>
      </c>
      <c r="AM192" s="117">
        <f t="shared" si="53"/>
        <v>0</v>
      </c>
      <c r="AN192" s="20"/>
    </row>
    <row r="193" spans="15:45">
      <c r="Q193" s="99" t="s">
        <v>4923</v>
      </c>
      <c r="R193" s="95">
        <v>0</v>
      </c>
      <c r="T193" s="168" t="s">
        <v>4505</v>
      </c>
      <c r="U193" s="168">
        <v>8334</v>
      </c>
      <c r="V193" s="113">
        <v>239.97</v>
      </c>
      <c r="W193" s="113">
        <f t="shared" si="54"/>
        <v>1999909.98</v>
      </c>
      <c r="X193" s="99" t="s">
        <v>4444</v>
      </c>
      <c r="AH193" s="99"/>
      <c r="AI193" s="113"/>
      <c r="AJ193" s="113"/>
      <c r="AK193" s="99"/>
      <c r="AL193" s="20">
        <f t="shared" si="52"/>
        <v>0</v>
      </c>
      <c r="AM193" s="117">
        <f t="shared" si="53"/>
        <v>0</v>
      </c>
      <c r="AN193" s="20"/>
    </row>
    <row r="194" spans="15:45">
      <c r="Q194" s="99" t="s">
        <v>5238</v>
      </c>
      <c r="R194" s="95">
        <v>0</v>
      </c>
      <c r="T194" s="168" t="s">
        <v>4229</v>
      </c>
      <c r="U194" s="168">
        <v>29041</v>
      </c>
      <c r="V194" s="113">
        <v>233.45</v>
      </c>
      <c r="W194" s="113">
        <f t="shared" si="54"/>
        <v>6779621.4499999993</v>
      </c>
      <c r="X194" s="99" t="s">
        <v>751</v>
      </c>
      <c r="AH194" s="99"/>
      <c r="AI194" s="113"/>
      <c r="AJ194" s="113"/>
      <c r="AK194" s="99"/>
      <c r="AL194" s="20">
        <f t="shared" si="52"/>
        <v>0</v>
      </c>
      <c r="AM194" s="117">
        <f t="shared" si="53"/>
        <v>0</v>
      </c>
      <c r="AN194" s="20"/>
      <c r="AS194" t="s">
        <v>25</v>
      </c>
    </row>
    <row r="195" spans="15:45">
      <c r="Q195" s="99"/>
      <c r="R195" s="95"/>
      <c r="S195" s="115"/>
      <c r="T195" s="168" t="s">
        <v>993</v>
      </c>
      <c r="U195" s="168">
        <v>12337</v>
      </c>
      <c r="V195" s="113">
        <v>243.16300000000001</v>
      </c>
      <c r="W195" s="113">
        <f t="shared" si="54"/>
        <v>2999901.9310000003</v>
      </c>
      <c r="X195" s="99" t="s">
        <v>4444</v>
      </c>
      <c r="AH195" s="99"/>
      <c r="AI195" s="113"/>
      <c r="AJ195" s="113"/>
      <c r="AK195" s="99"/>
      <c r="AL195" s="20">
        <f t="shared" si="52"/>
        <v>0</v>
      </c>
      <c r="AM195" s="117">
        <f t="shared" si="53"/>
        <v>0</v>
      </c>
      <c r="AN195" s="20"/>
    </row>
    <row r="196" spans="15:45">
      <c r="Q196" s="99"/>
      <c r="R196" s="95"/>
      <c r="S196" s="122"/>
      <c r="T196" s="168" t="s">
        <v>4586</v>
      </c>
      <c r="U196" s="168">
        <v>-16118</v>
      </c>
      <c r="V196" s="113">
        <v>248.17</v>
      </c>
      <c r="W196" s="113">
        <f t="shared" si="54"/>
        <v>-4000004.0599999996</v>
      </c>
      <c r="X196" s="99" t="s">
        <v>751</v>
      </c>
      <c r="AH196" s="99"/>
      <c r="AI196" s="113"/>
      <c r="AJ196" s="113"/>
      <c r="AK196" s="99"/>
      <c r="AL196" s="20">
        <f t="shared" si="48"/>
        <v>0</v>
      </c>
      <c r="AM196" s="117">
        <f t="shared" si="49"/>
        <v>0</v>
      </c>
      <c r="AN196" s="99"/>
    </row>
    <row r="197" spans="15:45">
      <c r="Q197" s="99"/>
      <c r="R197" s="95"/>
      <c r="S197" s="115"/>
      <c r="T197" s="168" t="s">
        <v>4614</v>
      </c>
      <c r="U197" s="168">
        <v>101681</v>
      </c>
      <c r="V197" s="113">
        <v>246.5711</v>
      </c>
      <c r="W197" s="113">
        <f t="shared" si="54"/>
        <v>25071596.019099999</v>
      </c>
      <c r="X197" s="99" t="s">
        <v>452</v>
      </c>
      <c r="Y197" t="s">
        <v>25</v>
      </c>
      <c r="AH197" s="99"/>
      <c r="AI197" s="99"/>
      <c r="AJ197" s="95">
        <f>SUM(AJ20:AJ196)</f>
        <v>491220059</v>
      </c>
      <c r="AK197" s="99"/>
      <c r="AL197" s="99"/>
      <c r="AM197" s="95">
        <f>SUM(AM20:AM196)</f>
        <v>153344342490</v>
      </c>
      <c r="AN197" s="95">
        <f>AM197*AN200/31</f>
        <v>82444843.750994533</v>
      </c>
    </row>
    <row r="198" spans="15:45">
      <c r="Q198" s="99" t="s">
        <v>5239</v>
      </c>
      <c r="R198" s="95">
        <v>0</v>
      </c>
      <c r="S198" s="115"/>
      <c r="T198" s="168" t="s">
        <v>4618</v>
      </c>
      <c r="U198" s="168">
        <v>66606</v>
      </c>
      <c r="V198" s="113">
        <v>251.131</v>
      </c>
      <c r="W198" s="113">
        <f t="shared" si="54"/>
        <v>16726831.386</v>
      </c>
      <c r="X198" s="99" t="s">
        <v>751</v>
      </c>
      <c r="AH198" s="99"/>
      <c r="AI198" s="99"/>
      <c r="AJ198" s="99" t="s">
        <v>4058</v>
      </c>
      <c r="AK198" s="99"/>
      <c r="AL198" s="99"/>
      <c r="AM198" s="99" t="s">
        <v>284</v>
      </c>
      <c r="AN198" s="99" t="s">
        <v>942</v>
      </c>
    </row>
    <row r="199" spans="15:45">
      <c r="Q199" s="99" t="s">
        <v>4454</v>
      </c>
      <c r="R199" s="95">
        <f>SUM(R186:R198)</f>
        <v>1624430379</v>
      </c>
      <c r="T199" s="168" t="s">
        <v>4623</v>
      </c>
      <c r="U199" s="168">
        <v>172025</v>
      </c>
      <c r="V199" s="113">
        <v>245.52809999999999</v>
      </c>
      <c r="W199" s="113">
        <f t="shared" si="54"/>
        <v>42236971.402499996</v>
      </c>
      <c r="X199" s="99" t="s">
        <v>452</v>
      </c>
      <c r="AH199" s="99"/>
      <c r="AI199" s="99"/>
      <c r="AJ199" s="99"/>
      <c r="AK199" s="99"/>
      <c r="AL199" s="99"/>
      <c r="AM199" s="99"/>
      <c r="AN199" s="99"/>
    </row>
    <row r="200" spans="15:45">
      <c r="Q200" s="96"/>
      <c r="T200" s="168" t="s">
        <v>4623</v>
      </c>
      <c r="U200" s="168">
        <v>189227</v>
      </c>
      <c r="V200" s="113">
        <v>245.52809999999999</v>
      </c>
      <c r="W200" s="113">
        <f t="shared" si="54"/>
        <v>46460545.778700002</v>
      </c>
      <c r="X200" s="99" t="s">
        <v>751</v>
      </c>
      <c r="AH200" s="99"/>
      <c r="AI200" s="99"/>
      <c r="AJ200" s="99"/>
      <c r="AK200" s="99"/>
      <c r="AL200" s="99"/>
      <c r="AM200" s="99" t="s">
        <v>4059</v>
      </c>
      <c r="AN200" s="99">
        <v>1.6667000000000001E-2</v>
      </c>
    </row>
    <row r="201" spans="15:45">
      <c r="T201" s="168" t="s">
        <v>4624</v>
      </c>
      <c r="U201" s="168">
        <v>79720</v>
      </c>
      <c r="V201" s="113">
        <v>246.6568</v>
      </c>
      <c r="W201" s="113">
        <f t="shared" si="54"/>
        <v>19663480.096000001</v>
      </c>
      <c r="X201" s="99" t="s">
        <v>452</v>
      </c>
      <c r="AH201" s="99"/>
      <c r="AI201" s="99"/>
      <c r="AJ201" s="99"/>
      <c r="AK201" s="99"/>
      <c r="AL201" s="99"/>
      <c r="AM201" s="99"/>
      <c r="AN201" s="99"/>
      <c r="AQ201" t="s">
        <v>25</v>
      </c>
    </row>
    <row r="202" spans="15:45">
      <c r="O202" t="s">
        <v>25</v>
      </c>
      <c r="Q202" s="99" t="s">
        <v>8</v>
      </c>
      <c r="R202" s="99" t="s">
        <v>4444</v>
      </c>
      <c r="S202" s="99"/>
      <c r="T202" s="168" t="s">
        <v>4624</v>
      </c>
      <c r="U202" s="168">
        <v>79720</v>
      </c>
      <c r="V202" s="113">
        <v>246.6568</v>
      </c>
      <c r="W202" s="113">
        <f t="shared" si="54"/>
        <v>19663480.096000001</v>
      </c>
      <c r="X202" s="99" t="s">
        <v>751</v>
      </c>
      <c r="AH202" s="99"/>
      <c r="AI202" s="99" t="s">
        <v>4060</v>
      </c>
      <c r="AJ202" s="95">
        <f>AJ197+AN197</f>
        <v>573664902.75099456</v>
      </c>
      <c r="AK202" s="99"/>
      <c r="AL202" s="99"/>
      <c r="AM202" s="99"/>
      <c r="AN202" s="99"/>
    </row>
    <row r="203" spans="15:45">
      <c r="Q203" s="99"/>
      <c r="R203" s="36" t="s">
        <v>180</v>
      </c>
      <c r="S203" s="99" t="s">
        <v>267</v>
      </c>
      <c r="T203" s="168" t="s">
        <v>4648</v>
      </c>
      <c r="U203" s="168">
        <v>17769</v>
      </c>
      <c r="V203" s="113">
        <v>246.17877999999999</v>
      </c>
      <c r="W203" s="113">
        <f t="shared" si="54"/>
        <v>4374350.7418200001</v>
      </c>
      <c r="X203" s="99" t="s">
        <v>751</v>
      </c>
      <c r="AI203" t="s">
        <v>4063</v>
      </c>
      <c r="AJ203" s="114">
        <f>SUM(N45:N53)</f>
        <v>937788967</v>
      </c>
    </row>
    <row r="204" spans="15:45">
      <c r="Q204" s="99"/>
      <c r="R204" s="99" t="s">
        <v>4437</v>
      </c>
      <c r="S204" s="95">
        <v>3000000</v>
      </c>
      <c r="T204" s="168" t="s">
        <v>4648</v>
      </c>
      <c r="U204" s="168">
        <v>17769</v>
      </c>
      <c r="V204" s="113">
        <v>246.17877999999999</v>
      </c>
      <c r="W204" s="113">
        <f t="shared" si="54"/>
        <v>4374350.7418200001</v>
      </c>
      <c r="X204" s="99" t="s">
        <v>452</v>
      </c>
      <c r="AI204" t="s">
        <v>4135</v>
      </c>
      <c r="AJ204" s="114">
        <f>AJ203-AJ197</f>
        <v>446568908</v>
      </c>
      <c r="AM204" t="s">
        <v>25</v>
      </c>
      <c r="AR204" t="s">
        <v>25</v>
      </c>
    </row>
    <row r="205" spans="15:45">
      <c r="Q205" s="99"/>
      <c r="R205" s="99" t="s">
        <v>4491</v>
      </c>
      <c r="S205" s="95">
        <v>2000000</v>
      </c>
      <c r="T205" s="168" t="s">
        <v>4651</v>
      </c>
      <c r="U205" s="168">
        <v>12438</v>
      </c>
      <c r="V205" s="113">
        <v>241.20465999999999</v>
      </c>
      <c r="W205" s="113">
        <f t="shared" si="54"/>
        <v>3000103.5610799999</v>
      </c>
      <c r="X205" s="99" t="s">
        <v>4444</v>
      </c>
      <c r="AI205" t="s">
        <v>942</v>
      </c>
      <c r="AJ205" s="114">
        <f>AN197</f>
        <v>82444843.750994533</v>
      </c>
      <c r="AN205" t="s">
        <v>25</v>
      </c>
    </row>
    <row r="206" spans="15:45">
      <c r="Q206" s="99"/>
      <c r="R206" s="99" t="s">
        <v>4499</v>
      </c>
      <c r="S206" s="95">
        <v>1000000</v>
      </c>
      <c r="T206" s="168" t="s">
        <v>4660</v>
      </c>
      <c r="U206" s="168">
        <v>27363</v>
      </c>
      <c r="V206" s="113">
        <v>239.3886</v>
      </c>
      <c r="W206" s="113">
        <f t="shared" si="54"/>
        <v>6550390.2617999995</v>
      </c>
      <c r="X206" s="99" t="s">
        <v>751</v>
      </c>
      <c r="AI206" t="s">
        <v>4064</v>
      </c>
      <c r="AJ206" s="114">
        <f>AJ203-AJ202</f>
        <v>364124064.24900544</v>
      </c>
      <c r="AN206" t="s">
        <v>25</v>
      </c>
    </row>
    <row r="207" spans="15:45">
      <c r="Q207" s="99"/>
      <c r="R207" s="99" t="s">
        <v>4505</v>
      </c>
      <c r="S207" s="95">
        <v>2000000</v>
      </c>
      <c r="T207" s="168" t="s">
        <v>4660</v>
      </c>
      <c r="U207" s="168">
        <v>27363</v>
      </c>
      <c r="V207" s="113">
        <v>239.3886</v>
      </c>
      <c r="W207" s="113">
        <f t="shared" si="54"/>
        <v>6550390.2617999995</v>
      </c>
      <c r="X207" s="99" t="s">
        <v>452</v>
      </c>
      <c r="AM207" t="s">
        <v>25</v>
      </c>
      <c r="AR207" t="s">
        <v>25</v>
      </c>
    </row>
    <row r="208" spans="15:45">
      <c r="Q208" s="99"/>
      <c r="R208" s="99" t="s">
        <v>993</v>
      </c>
      <c r="S208" s="95">
        <v>3000000</v>
      </c>
      <c r="T208" s="210" t="s">
        <v>4662</v>
      </c>
      <c r="U208" s="210">
        <v>27437</v>
      </c>
      <c r="V208" s="113">
        <v>242.4015</v>
      </c>
      <c r="W208" s="113">
        <f t="shared" si="54"/>
        <v>6650769.9555000002</v>
      </c>
      <c r="X208" s="99" t="s">
        <v>751</v>
      </c>
      <c r="AJ208" t="s">
        <v>25</v>
      </c>
    </row>
    <row r="209" spans="17:45">
      <c r="Q209" s="99"/>
      <c r="R209" s="99" t="s">
        <v>4651</v>
      </c>
      <c r="S209" s="95">
        <v>3000000</v>
      </c>
      <c r="T209" s="210" t="s">
        <v>4662</v>
      </c>
      <c r="U209" s="210">
        <v>29104</v>
      </c>
      <c r="V209" s="113">
        <v>242.4015</v>
      </c>
      <c r="W209" s="113">
        <f t="shared" si="54"/>
        <v>7054853.2560000001</v>
      </c>
      <c r="X209" s="99" t="s">
        <v>452</v>
      </c>
      <c r="AP209" t="s">
        <v>25</v>
      </c>
    </row>
    <row r="210" spans="17:45">
      <c r="Q210" s="99" t="s">
        <v>4841</v>
      </c>
      <c r="R210" s="99" t="s">
        <v>4836</v>
      </c>
      <c r="S210" s="95">
        <v>-800000</v>
      </c>
      <c r="T210" s="213" t="s">
        <v>4685</v>
      </c>
      <c r="U210" s="213">
        <v>8991</v>
      </c>
      <c r="V210" s="113">
        <v>238.64867000000001</v>
      </c>
      <c r="W210" s="113">
        <f t="shared" si="54"/>
        <v>2145690.19197</v>
      </c>
      <c r="X210" s="99" t="s">
        <v>751</v>
      </c>
      <c r="Z210" t="s">
        <v>25</v>
      </c>
    </row>
    <row r="211" spans="17:45">
      <c r="Q211" s="99" t="s">
        <v>4842</v>
      </c>
      <c r="R211" s="99" t="s">
        <v>4836</v>
      </c>
      <c r="S211" s="95">
        <v>-900000</v>
      </c>
      <c r="T211" s="213" t="s">
        <v>4685</v>
      </c>
      <c r="U211" s="213">
        <v>8991</v>
      </c>
      <c r="V211" s="113">
        <v>238.64867000000001</v>
      </c>
      <c r="W211" s="113">
        <f t="shared" si="54"/>
        <v>2145690.19197</v>
      </c>
      <c r="X211" s="99" t="s">
        <v>452</v>
      </c>
    </row>
    <row r="212" spans="17:45">
      <c r="Q212" s="99" t="s">
        <v>4842</v>
      </c>
      <c r="R212" s="99" t="s">
        <v>980</v>
      </c>
      <c r="S212" s="95">
        <v>-1100000</v>
      </c>
      <c r="T212" s="213" t="s">
        <v>4696</v>
      </c>
      <c r="U212" s="213">
        <v>18170</v>
      </c>
      <c r="V212" s="113">
        <v>240.48475999999999</v>
      </c>
      <c r="W212" s="113">
        <f t="shared" si="54"/>
        <v>4369608.0892000003</v>
      </c>
      <c r="X212" s="99" t="s">
        <v>751</v>
      </c>
    </row>
    <row r="213" spans="17:45">
      <c r="Q213" s="195" t="s">
        <v>1086</v>
      </c>
      <c r="R213" s="195" t="s">
        <v>4865</v>
      </c>
      <c r="S213" s="242">
        <v>30000000</v>
      </c>
      <c r="T213" s="213" t="s">
        <v>4696</v>
      </c>
      <c r="U213" s="213">
        <v>18170</v>
      </c>
      <c r="V213" s="113">
        <v>240.48475999999999</v>
      </c>
      <c r="W213" s="113">
        <f t="shared" si="54"/>
        <v>4369608.0892000003</v>
      </c>
      <c r="X213" s="99" t="s">
        <v>452</v>
      </c>
      <c r="AH213" s="99" t="s">
        <v>3640</v>
      </c>
      <c r="AI213" s="99" t="s">
        <v>180</v>
      </c>
      <c r="AJ213" s="99" t="s">
        <v>267</v>
      </c>
      <c r="AK213" s="99" t="s">
        <v>4057</v>
      </c>
      <c r="AL213" s="99" t="s">
        <v>4049</v>
      </c>
      <c r="AM213" s="99" t="s">
        <v>282</v>
      </c>
      <c r="AN213" s="99" t="s">
        <v>4291</v>
      </c>
      <c r="AR213" t="s">
        <v>25</v>
      </c>
    </row>
    <row r="214" spans="17:45">
      <c r="Q214" s="20" t="s">
        <v>4951</v>
      </c>
      <c r="R214" s="20" t="s">
        <v>4949</v>
      </c>
      <c r="S214" s="247">
        <v>2000000</v>
      </c>
      <c r="T214" s="213" t="s">
        <v>4698</v>
      </c>
      <c r="U214" s="213">
        <v>36797</v>
      </c>
      <c r="V214" s="113">
        <v>239.0822</v>
      </c>
      <c r="W214" s="113">
        <f t="shared" si="54"/>
        <v>8797507.7134000007</v>
      </c>
      <c r="X214" s="99" t="s">
        <v>751</v>
      </c>
      <c r="AH214" s="99">
        <v>1</v>
      </c>
      <c r="AI214" s="99" t="s">
        <v>3948</v>
      </c>
      <c r="AJ214" s="117">
        <v>3555820</v>
      </c>
      <c r="AK214" s="99">
        <v>2</v>
      </c>
      <c r="AL214" s="99">
        <f>AK214+AL215</f>
        <v>422</v>
      </c>
      <c r="AM214" s="99">
        <f>AJ214*AL214</f>
        <v>1500556040</v>
      </c>
      <c r="AN214" s="99" t="s">
        <v>4311</v>
      </c>
      <c r="AQ214" t="s">
        <v>25</v>
      </c>
    </row>
    <row r="215" spans="17:45">
      <c r="Q215" s="149" t="s">
        <v>4976</v>
      </c>
      <c r="R215" s="149" t="s">
        <v>4975</v>
      </c>
      <c r="S215" s="150">
        <v>480105</v>
      </c>
      <c r="T215" s="213" t="s">
        <v>4698</v>
      </c>
      <c r="U215" s="213">
        <v>36797</v>
      </c>
      <c r="V215" s="113">
        <v>239.0822</v>
      </c>
      <c r="W215" s="113">
        <f t="shared" si="54"/>
        <v>8797507.7134000007</v>
      </c>
      <c r="X215" s="99" t="s">
        <v>452</v>
      </c>
      <c r="AH215" s="99">
        <v>2</v>
      </c>
      <c r="AI215" s="99" t="s">
        <v>4023</v>
      </c>
      <c r="AJ215" s="117">
        <v>1720837</v>
      </c>
      <c r="AK215" s="99">
        <v>51</v>
      </c>
      <c r="AL215" s="99">
        <f t="shared" ref="AL215:AL224" si="55">AK215+AL216</f>
        <v>420</v>
      </c>
      <c r="AM215" s="99">
        <f t="shared" ref="AM215:AM243" si="56">AJ215*AL215</f>
        <v>722751540</v>
      </c>
      <c r="AN215" s="99" t="s">
        <v>4312</v>
      </c>
    </row>
    <row r="216" spans="17:45">
      <c r="Q216" s="149"/>
      <c r="R216" s="149" t="s">
        <v>5031</v>
      </c>
      <c r="S216" s="150">
        <v>30500000</v>
      </c>
      <c r="T216" s="213" t="s">
        <v>4707</v>
      </c>
      <c r="U216" s="213">
        <v>28066</v>
      </c>
      <c r="V216" s="113">
        <v>237.56970000000001</v>
      </c>
      <c r="W216" s="113">
        <f t="shared" si="54"/>
        <v>6667631.2002000008</v>
      </c>
      <c r="X216" s="99" t="s">
        <v>751</v>
      </c>
      <c r="AH216" s="99">
        <v>3</v>
      </c>
      <c r="AI216" s="99" t="s">
        <v>4129</v>
      </c>
      <c r="AJ216" s="117">
        <v>150000</v>
      </c>
      <c r="AK216" s="99">
        <v>3</v>
      </c>
      <c r="AL216" s="99">
        <f t="shared" si="55"/>
        <v>369</v>
      </c>
      <c r="AM216" s="99">
        <f t="shared" si="56"/>
        <v>55350000</v>
      </c>
      <c r="AN216" s="99"/>
    </row>
    <row r="217" spans="17:45">
      <c r="Q217" s="20" t="s">
        <v>5078</v>
      </c>
      <c r="R217" s="20" t="s">
        <v>5073</v>
      </c>
      <c r="S217" s="247">
        <v>-400000</v>
      </c>
      <c r="T217" s="213" t="s">
        <v>4707</v>
      </c>
      <c r="U217" s="213">
        <v>28066</v>
      </c>
      <c r="V217" s="113">
        <v>237.56970000000001</v>
      </c>
      <c r="W217" s="113">
        <f t="shared" si="54"/>
        <v>6667631.2002000008</v>
      </c>
      <c r="X217" s="99" t="s">
        <v>452</v>
      </c>
      <c r="AH217" s="99">
        <v>4</v>
      </c>
      <c r="AI217" s="99" t="s">
        <v>4144</v>
      </c>
      <c r="AJ217" s="117">
        <v>-95000</v>
      </c>
      <c r="AK217" s="99">
        <v>8</v>
      </c>
      <c r="AL217" s="99">
        <f t="shared" si="55"/>
        <v>366</v>
      </c>
      <c r="AM217" s="99">
        <f t="shared" si="56"/>
        <v>-34770000</v>
      </c>
      <c r="AN217" s="99"/>
    </row>
    <row r="218" spans="17:45">
      <c r="Q218" s="149" t="s">
        <v>5234</v>
      </c>
      <c r="R218" s="149" t="s">
        <v>5116</v>
      </c>
      <c r="S218" s="150">
        <v>-349550</v>
      </c>
      <c r="T218" s="213" t="s">
        <v>3683</v>
      </c>
      <c r="U218" s="213">
        <v>37457</v>
      </c>
      <c r="V218" s="113">
        <v>239.77</v>
      </c>
      <c r="W218" s="113">
        <f t="shared" si="54"/>
        <v>8981064.8900000006</v>
      </c>
      <c r="X218" s="99" t="s">
        <v>751</v>
      </c>
      <c r="AH218" s="99">
        <v>5</v>
      </c>
      <c r="AI218" s="99" t="s">
        <v>4171</v>
      </c>
      <c r="AJ218" s="117">
        <v>3150000</v>
      </c>
      <c r="AK218" s="99">
        <v>16</v>
      </c>
      <c r="AL218" s="99">
        <f t="shared" si="55"/>
        <v>358</v>
      </c>
      <c r="AM218" s="99">
        <f t="shared" si="56"/>
        <v>1127700000</v>
      </c>
      <c r="AN218" s="99"/>
      <c r="AS218" t="s">
        <v>25</v>
      </c>
    </row>
    <row r="219" spans="17:45">
      <c r="Q219" s="99"/>
      <c r="R219" s="99"/>
      <c r="S219" s="95"/>
      <c r="T219" s="213" t="s">
        <v>3683</v>
      </c>
      <c r="U219" s="213">
        <v>37457</v>
      </c>
      <c r="V219" s="113">
        <v>239.77</v>
      </c>
      <c r="W219" s="113">
        <f t="shared" si="54"/>
        <v>8981064.8900000006</v>
      </c>
      <c r="X219" s="99" t="s">
        <v>452</v>
      </c>
      <c r="AH219" s="99">
        <v>6</v>
      </c>
      <c r="AI219" s="99" t="s">
        <v>4239</v>
      </c>
      <c r="AJ219" s="117">
        <v>-65000</v>
      </c>
      <c r="AK219" s="99">
        <v>1</v>
      </c>
      <c r="AL219" s="99">
        <f t="shared" si="55"/>
        <v>342</v>
      </c>
      <c r="AM219" s="99">
        <f t="shared" si="56"/>
        <v>-22230000</v>
      </c>
      <c r="AN219" s="99"/>
    </row>
    <row r="220" spans="17:45">
      <c r="Q220" s="99"/>
      <c r="R220" s="99"/>
      <c r="S220" s="95">
        <f>SUM(S204:S219)</f>
        <v>73430555</v>
      </c>
      <c r="T220" s="213" t="s">
        <v>4720</v>
      </c>
      <c r="U220" s="213">
        <v>38412</v>
      </c>
      <c r="V220" s="113">
        <v>239.03</v>
      </c>
      <c r="W220" s="113">
        <f t="shared" si="54"/>
        <v>9181620.3599999994</v>
      </c>
      <c r="X220" s="99" t="s">
        <v>751</v>
      </c>
      <c r="AH220" s="99">
        <v>7</v>
      </c>
      <c r="AI220" s="99" t="s">
        <v>4313</v>
      </c>
      <c r="AJ220" s="117">
        <v>-95000</v>
      </c>
      <c r="AK220" s="99">
        <v>6</v>
      </c>
      <c r="AL220" s="99">
        <f t="shared" si="55"/>
        <v>341</v>
      </c>
      <c r="AM220" s="99">
        <f t="shared" si="56"/>
        <v>-32395000</v>
      </c>
      <c r="AN220" s="99"/>
    </row>
    <row r="221" spans="17:45">
      <c r="Q221" s="99"/>
      <c r="R221" s="99"/>
      <c r="S221" s="99" t="s">
        <v>6</v>
      </c>
      <c r="T221" s="213" t="s">
        <v>4720</v>
      </c>
      <c r="U221" s="213">
        <v>38412</v>
      </c>
      <c r="V221" s="113">
        <v>239.03</v>
      </c>
      <c r="W221" s="113">
        <f t="shared" si="54"/>
        <v>9181620.3599999994</v>
      </c>
      <c r="X221" s="99" t="s">
        <v>452</v>
      </c>
      <c r="AH221" s="99">
        <v>8</v>
      </c>
      <c r="AI221" s="99" t="s">
        <v>4314</v>
      </c>
      <c r="AJ221" s="117">
        <v>232000</v>
      </c>
      <c r="AK221" s="99">
        <v>7</v>
      </c>
      <c r="AL221" s="99">
        <f t="shared" si="55"/>
        <v>335</v>
      </c>
      <c r="AM221" s="99">
        <f t="shared" si="56"/>
        <v>77720000</v>
      </c>
      <c r="AN221" s="99"/>
    </row>
    <row r="222" spans="17:45">
      <c r="T222" s="213" t="s">
        <v>4724</v>
      </c>
      <c r="U222" s="213">
        <v>49555</v>
      </c>
      <c r="V222" s="113">
        <v>238.345</v>
      </c>
      <c r="W222" s="113">
        <f t="shared" si="54"/>
        <v>11811186.475</v>
      </c>
      <c r="X222" s="99" t="s">
        <v>751</v>
      </c>
      <c r="AH222" s="99">
        <v>9</v>
      </c>
      <c r="AI222" s="99" t="s">
        <v>4290</v>
      </c>
      <c r="AJ222" s="117">
        <v>13000000</v>
      </c>
      <c r="AK222" s="99">
        <v>2</v>
      </c>
      <c r="AL222" s="99">
        <f t="shared" si="55"/>
        <v>328</v>
      </c>
      <c r="AM222" s="99">
        <f t="shared" si="56"/>
        <v>4264000000</v>
      </c>
      <c r="AN222" s="99"/>
    </row>
    <row r="223" spans="17:45">
      <c r="Q223" s="96"/>
      <c r="R223" s="96" t="s">
        <v>25</v>
      </c>
      <c r="T223" s="213" t="s">
        <v>4724</v>
      </c>
      <c r="U223" s="213">
        <v>49555</v>
      </c>
      <c r="V223" s="113">
        <v>238.345</v>
      </c>
      <c r="W223" s="113">
        <f t="shared" si="54"/>
        <v>11811186.475</v>
      </c>
      <c r="X223" s="99" t="s">
        <v>452</v>
      </c>
      <c r="AH223" s="99">
        <v>10</v>
      </c>
      <c r="AI223" s="99" t="s">
        <v>4315</v>
      </c>
      <c r="AJ223" s="117">
        <v>10000000</v>
      </c>
      <c r="AK223" s="99">
        <v>3</v>
      </c>
      <c r="AL223" s="99">
        <f t="shared" si="55"/>
        <v>326</v>
      </c>
      <c r="AM223" s="99">
        <f t="shared" si="56"/>
        <v>3260000000</v>
      </c>
      <c r="AN223" s="99"/>
    </row>
    <row r="224" spans="17:45">
      <c r="Q224" s="96"/>
      <c r="R224" s="96" t="s">
        <v>25</v>
      </c>
      <c r="T224" s="213" t="s">
        <v>4738</v>
      </c>
      <c r="U224" s="213">
        <v>160187</v>
      </c>
      <c r="V224" s="113">
        <v>257.49799999999999</v>
      </c>
      <c r="W224" s="113">
        <f t="shared" si="54"/>
        <v>41247832.126000002</v>
      </c>
      <c r="X224" s="99" t="s">
        <v>751</v>
      </c>
      <c r="Z224" t="s">
        <v>25</v>
      </c>
      <c r="AH224" s="99">
        <v>11</v>
      </c>
      <c r="AI224" s="99" t="s">
        <v>4303</v>
      </c>
      <c r="AJ224" s="117">
        <v>3400000</v>
      </c>
      <c r="AK224" s="99">
        <v>9</v>
      </c>
      <c r="AL224" s="99">
        <f t="shared" si="55"/>
        <v>323</v>
      </c>
      <c r="AM224" s="99">
        <f t="shared" si="56"/>
        <v>1098200000</v>
      </c>
      <c r="AN224" s="99"/>
    </row>
    <row r="225" spans="17:44">
      <c r="T225" s="213" t="s">
        <v>4738</v>
      </c>
      <c r="U225" s="213">
        <v>160187</v>
      </c>
      <c r="V225" s="113">
        <v>257.49799999999999</v>
      </c>
      <c r="W225" s="113">
        <f t="shared" si="54"/>
        <v>41247832.126000002</v>
      </c>
      <c r="X225" s="99" t="s">
        <v>452</v>
      </c>
      <c r="AH225" s="99">
        <v>12</v>
      </c>
      <c r="AI225" s="99" t="s">
        <v>4345</v>
      </c>
      <c r="AJ225" s="117">
        <v>-8736514</v>
      </c>
      <c r="AK225" s="99">
        <v>1</v>
      </c>
      <c r="AL225" s="99">
        <f>AK225+AL226</f>
        <v>314</v>
      </c>
      <c r="AM225" s="99">
        <f t="shared" si="56"/>
        <v>-2743265396</v>
      </c>
      <c r="AN225" s="99"/>
    </row>
    <row r="226" spans="17:44">
      <c r="Q226" s="99" t="s">
        <v>751</v>
      </c>
      <c r="R226" s="99"/>
      <c r="T226" s="213" t="s">
        <v>4746</v>
      </c>
      <c r="U226" s="213">
        <v>144401</v>
      </c>
      <c r="V226" s="113">
        <v>258.5061</v>
      </c>
      <c r="W226" s="113">
        <f t="shared" si="54"/>
        <v>37328539.346100003</v>
      </c>
      <c r="X226" s="99" t="s">
        <v>751</v>
      </c>
      <c r="Y226" t="s">
        <v>25</v>
      </c>
      <c r="AH226" s="99">
        <v>13</v>
      </c>
      <c r="AI226" s="99" t="s">
        <v>4346</v>
      </c>
      <c r="AJ226" s="117">
        <v>555000</v>
      </c>
      <c r="AK226" s="99">
        <v>5</v>
      </c>
      <c r="AL226" s="99">
        <f t="shared" ref="AL226:AL242" si="57">AK226+AL227</f>
        <v>313</v>
      </c>
      <c r="AM226" s="99">
        <f t="shared" si="56"/>
        <v>173715000</v>
      </c>
      <c r="AN226" s="99"/>
    </row>
    <row r="227" spans="17:44">
      <c r="Q227" s="99" t="s">
        <v>4437</v>
      </c>
      <c r="R227" s="95">
        <v>172908000</v>
      </c>
      <c r="T227" s="213" t="s">
        <v>4746</v>
      </c>
      <c r="U227" s="213">
        <v>144401</v>
      </c>
      <c r="V227" s="113">
        <v>258.5061</v>
      </c>
      <c r="W227" s="113">
        <f t="shared" si="54"/>
        <v>37328539.346100003</v>
      </c>
      <c r="X227" s="99" t="s">
        <v>452</v>
      </c>
      <c r="AH227" s="99">
        <v>14</v>
      </c>
      <c r="AI227" s="99" t="s">
        <v>4370</v>
      </c>
      <c r="AJ227" s="117">
        <v>-448308</v>
      </c>
      <c r="AK227" s="99">
        <v>6</v>
      </c>
      <c r="AL227" s="99">
        <f t="shared" si="57"/>
        <v>308</v>
      </c>
      <c r="AM227" s="99">
        <f t="shared" si="56"/>
        <v>-138078864</v>
      </c>
      <c r="AN227" s="99"/>
    </row>
    <row r="228" spans="17:44">
      <c r="Q228" s="99" t="s">
        <v>4478</v>
      </c>
      <c r="R228" s="95">
        <v>1400000</v>
      </c>
      <c r="T228" s="168" t="s">
        <v>4753</v>
      </c>
      <c r="U228" s="168">
        <v>196500</v>
      </c>
      <c r="V228" s="113">
        <v>254.452</v>
      </c>
      <c r="W228" s="113">
        <f t="shared" si="54"/>
        <v>49999818</v>
      </c>
      <c r="X228" s="99" t="s">
        <v>4757</v>
      </c>
      <c r="Y228" s="96"/>
      <c r="AH228" s="99">
        <v>15</v>
      </c>
      <c r="AI228" s="99" t="s">
        <v>4400</v>
      </c>
      <c r="AJ228" s="117">
        <v>33225</v>
      </c>
      <c r="AK228" s="99">
        <v>0</v>
      </c>
      <c r="AL228" s="99">
        <f t="shared" si="57"/>
        <v>302</v>
      </c>
      <c r="AM228" s="99">
        <f t="shared" si="56"/>
        <v>10033950</v>
      </c>
      <c r="AN228" s="99"/>
    </row>
    <row r="229" spans="17:44">
      <c r="Q229" s="99" t="s">
        <v>4230</v>
      </c>
      <c r="R229" s="95">
        <v>247393</v>
      </c>
      <c r="S229" t="s">
        <v>25</v>
      </c>
      <c r="T229" s="213" t="s">
        <v>4753</v>
      </c>
      <c r="U229" s="213">
        <v>2561</v>
      </c>
      <c r="V229" s="113">
        <v>254.536</v>
      </c>
      <c r="W229" s="113">
        <f t="shared" si="54"/>
        <v>651866.696</v>
      </c>
      <c r="X229" s="99" t="s">
        <v>4758</v>
      </c>
      <c r="Y229" t="s">
        <v>25</v>
      </c>
      <c r="AH229" s="149">
        <v>16</v>
      </c>
      <c r="AI229" s="149" t="s">
        <v>4400</v>
      </c>
      <c r="AJ229" s="188">
        <v>4098523</v>
      </c>
      <c r="AK229" s="149">
        <v>2</v>
      </c>
      <c r="AL229" s="149">
        <f t="shared" si="57"/>
        <v>302</v>
      </c>
      <c r="AM229" s="149">
        <f t="shared" si="56"/>
        <v>1237753946</v>
      </c>
      <c r="AN229" s="149" t="s">
        <v>657</v>
      </c>
    </row>
    <row r="230" spans="17:44">
      <c r="Q230" s="99" t="s">
        <v>4229</v>
      </c>
      <c r="R230" s="95">
        <v>6780000</v>
      </c>
      <c r="T230" s="213" t="s">
        <v>4802</v>
      </c>
      <c r="U230" s="213">
        <v>-11795</v>
      </c>
      <c r="V230" s="113">
        <v>254.334</v>
      </c>
      <c r="W230" s="113">
        <f t="shared" si="54"/>
        <v>-2999869.5300000003</v>
      </c>
      <c r="X230" s="99" t="s">
        <v>4803</v>
      </c>
      <c r="AH230" s="149">
        <v>17</v>
      </c>
      <c r="AI230" s="149" t="s">
        <v>4413</v>
      </c>
      <c r="AJ230" s="188">
        <v>-1000000</v>
      </c>
      <c r="AK230" s="149">
        <v>7</v>
      </c>
      <c r="AL230" s="149">
        <f t="shared" si="57"/>
        <v>300</v>
      </c>
      <c r="AM230" s="149">
        <f t="shared" si="56"/>
        <v>-300000000</v>
      </c>
      <c r="AN230" s="149" t="s">
        <v>657</v>
      </c>
      <c r="AQ230" t="s">
        <v>25</v>
      </c>
    </row>
    <row r="231" spans="17:44">
      <c r="Q231" s="99" t="s">
        <v>4586</v>
      </c>
      <c r="R231" s="95">
        <v>-4000000</v>
      </c>
      <c r="T231" s="213" t="s">
        <v>4802</v>
      </c>
      <c r="U231" s="213">
        <v>11795</v>
      </c>
      <c r="V231" s="113">
        <v>254.334</v>
      </c>
      <c r="W231" s="113">
        <f t="shared" si="54"/>
        <v>2999869.5300000003</v>
      </c>
      <c r="X231" s="99" t="s">
        <v>4804</v>
      </c>
      <c r="AH231" s="149">
        <v>18</v>
      </c>
      <c r="AI231" s="149" t="s">
        <v>4433</v>
      </c>
      <c r="AJ231" s="188">
        <v>750000</v>
      </c>
      <c r="AK231" s="149">
        <v>1</v>
      </c>
      <c r="AL231" s="149">
        <f t="shared" si="57"/>
        <v>293</v>
      </c>
      <c r="AM231" s="149">
        <f t="shared" si="56"/>
        <v>219750000</v>
      </c>
      <c r="AN231" s="149" t="s">
        <v>657</v>
      </c>
    </row>
    <row r="232" spans="17:44">
      <c r="Q232" s="99" t="s">
        <v>4618</v>
      </c>
      <c r="R232" s="95">
        <v>16727037</v>
      </c>
      <c r="T232" s="213" t="s">
        <v>4817</v>
      </c>
      <c r="U232" s="213">
        <v>260</v>
      </c>
      <c r="V232" s="113">
        <v>263.19</v>
      </c>
      <c r="W232" s="113">
        <f t="shared" si="54"/>
        <v>68429.399999999994</v>
      </c>
      <c r="X232" s="99" t="s">
        <v>452</v>
      </c>
      <c r="AH232" s="195">
        <v>19</v>
      </c>
      <c r="AI232" s="195" t="s">
        <v>4435</v>
      </c>
      <c r="AJ232" s="196">
        <v>-604152</v>
      </c>
      <c r="AK232" s="195">
        <v>0</v>
      </c>
      <c r="AL232" s="195">
        <f t="shared" si="57"/>
        <v>292</v>
      </c>
      <c r="AM232" s="195">
        <f t="shared" si="56"/>
        <v>-176412384</v>
      </c>
      <c r="AN232" s="195" t="s">
        <v>657</v>
      </c>
    </row>
    <row r="233" spans="17:44">
      <c r="Q233" s="99" t="s">
        <v>4623</v>
      </c>
      <c r="R233" s="95">
        <v>46460683</v>
      </c>
      <c r="S233" t="s">
        <v>25</v>
      </c>
      <c r="T233" s="213" t="s">
        <v>4831</v>
      </c>
      <c r="U233" s="213">
        <v>15257</v>
      </c>
      <c r="V233" s="113">
        <v>262.19018</v>
      </c>
      <c r="W233" s="113">
        <f t="shared" si="54"/>
        <v>4000235.57626</v>
      </c>
      <c r="X233" s="99" t="s">
        <v>452</v>
      </c>
      <c r="Y233" t="s">
        <v>25</v>
      </c>
      <c r="AH233" s="99">
        <v>20</v>
      </c>
      <c r="AI233" s="99" t="s">
        <v>4436</v>
      </c>
      <c r="AJ233" s="117">
        <v>-587083</v>
      </c>
      <c r="AK233" s="99">
        <v>4</v>
      </c>
      <c r="AL233" s="99">
        <f t="shared" si="57"/>
        <v>292</v>
      </c>
      <c r="AM233" s="99">
        <f t="shared" si="56"/>
        <v>-171428236</v>
      </c>
      <c r="AN233" s="99"/>
    </row>
    <row r="234" spans="17:44">
      <c r="Q234" s="99" t="s">
        <v>4624</v>
      </c>
      <c r="R234" s="95">
        <v>19663646</v>
      </c>
      <c r="T234" s="213" t="s">
        <v>4831</v>
      </c>
      <c r="U234" s="213">
        <v>8444</v>
      </c>
      <c r="V234" s="113">
        <v>266.43029999999999</v>
      </c>
      <c r="W234" s="113">
        <f t="shared" si="54"/>
        <v>2249737.4531999999</v>
      </c>
      <c r="X234" s="99" t="s">
        <v>452</v>
      </c>
      <c r="AH234" s="195">
        <v>21</v>
      </c>
      <c r="AI234" s="195" t="s">
        <v>4437</v>
      </c>
      <c r="AJ234" s="196">
        <v>-754351</v>
      </c>
      <c r="AK234" s="195">
        <v>0</v>
      </c>
      <c r="AL234" s="149">
        <f t="shared" si="57"/>
        <v>288</v>
      </c>
      <c r="AM234" s="195">
        <f t="shared" si="56"/>
        <v>-217253088</v>
      </c>
      <c r="AN234" s="195" t="s">
        <v>657</v>
      </c>
    </row>
    <row r="235" spans="17:44">
      <c r="Q235" s="99" t="s">
        <v>4648</v>
      </c>
      <c r="R235" s="95">
        <v>4374525</v>
      </c>
      <c r="T235" s="213" t="s">
        <v>4836</v>
      </c>
      <c r="U235" s="213">
        <v>-6209</v>
      </c>
      <c r="V235" s="113">
        <v>273.79649999999998</v>
      </c>
      <c r="W235" s="113">
        <f t="shared" si="54"/>
        <v>-1700002.4685</v>
      </c>
      <c r="X235" s="99" t="s">
        <v>4847</v>
      </c>
      <c r="Z235" t="s">
        <v>25</v>
      </c>
      <c r="AA235" t="s">
        <v>25</v>
      </c>
      <c r="AH235" s="99">
        <v>22</v>
      </c>
      <c r="AI235" s="99" t="s">
        <v>4437</v>
      </c>
      <c r="AJ235" s="117">
        <v>-189619</v>
      </c>
      <c r="AK235" s="99">
        <v>15</v>
      </c>
      <c r="AL235" s="99">
        <f t="shared" si="57"/>
        <v>288</v>
      </c>
      <c r="AM235" s="99">
        <f t="shared" si="56"/>
        <v>-54610272</v>
      </c>
      <c r="AN235" s="99"/>
    </row>
    <row r="236" spans="17:44">
      <c r="Q236" s="99" t="s">
        <v>4660</v>
      </c>
      <c r="R236" s="95">
        <v>6550580</v>
      </c>
      <c r="T236" s="213" t="s">
        <v>4836</v>
      </c>
      <c r="U236" s="213">
        <v>-8014</v>
      </c>
      <c r="V236" s="113">
        <v>273.79649999999998</v>
      </c>
      <c r="W236" s="113">
        <f t="shared" si="54"/>
        <v>-2194205.1510000001</v>
      </c>
      <c r="X236" s="99" t="s">
        <v>751</v>
      </c>
      <c r="AH236" s="195">
        <v>23</v>
      </c>
      <c r="AI236" s="195" t="s">
        <v>4509</v>
      </c>
      <c r="AJ236" s="188">
        <v>7100</v>
      </c>
      <c r="AK236" s="195">
        <v>0</v>
      </c>
      <c r="AL236" s="149">
        <f t="shared" si="57"/>
        <v>273</v>
      </c>
      <c r="AM236" s="195">
        <f t="shared" si="56"/>
        <v>1938300</v>
      </c>
      <c r="AN236" s="195" t="s">
        <v>657</v>
      </c>
    </row>
    <row r="237" spans="17:44">
      <c r="Q237" s="99" t="s">
        <v>4662</v>
      </c>
      <c r="R237" s="95">
        <v>6650895</v>
      </c>
      <c r="T237" s="213" t="s">
        <v>4845</v>
      </c>
      <c r="U237" s="213">
        <v>-9176</v>
      </c>
      <c r="V237" s="113">
        <v>273.79649999999998</v>
      </c>
      <c r="W237" s="113">
        <f t="shared" si="54"/>
        <v>-2512356.6839999999</v>
      </c>
      <c r="X237" s="99" t="s">
        <v>452</v>
      </c>
      <c r="Y237" t="s">
        <v>25</v>
      </c>
      <c r="AH237" s="20">
        <v>24</v>
      </c>
      <c r="AI237" s="20" t="s">
        <v>4509</v>
      </c>
      <c r="AJ237" s="117">
        <v>-147902</v>
      </c>
      <c r="AK237" s="20">
        <v>3</v>
      </c>
      <c r="AL237" s="99">
        <f t="shared" si="57"/>
        <v>273</v>
      </c>
      <c r="AM237" s="20">
        <f t="shared" si="56"/>
        <v>-40377246</v>
      </c>
      <c r="AN237" s="20"/>
    </row>
    <row r="238" spans="17:44">
      <c r="Q238" s="99" t="s">
        <v>4685</v>
      </c>
      <c r="R238" s="95">
        <v>2145814</v>
      </c>
      <c r="T238" s="213" t="s">
        <v>4845</v>
      </c>
      <c r="U238" s="213">
        <v>1087</v>
      </c>
      <c r="V238" s="113">
        <v>273.79649999999998</v>
      </c>
      <c r="W238" s="113">
        <f t="shared" si="54"/>
        <v>297616.79550000001</v>
      </c>
      <c r="X238" s="99" t="s">
        <v>452</v>
      </c>
      <c r="AH238" s="149">
        <v>25</v>
      </c>
      <c r="AI238" s="149" t="s">
        <v>4517</v>
      </c>
      <c r="AJ238" s="188">
        <v>-37200</v>
      </c>
      <c r="AK238" s="149">
        <v>4</v>
      </c>
      <c r="AL238" s="149">
        <f t="shared" si="57"/>
        <v>270</v>
      </c>
      <c r="AM238" s="195">
        <f t="shared" si="56"/>
        <v>-10044000</v>
      </c>
      <c r="AN238" s="149" t="s">
        <v>657</v>
      </c>
      <c r="AR238" t="s">
        <v>25</v>
      </c>
    </row>
    <row r="239" spans="17:44">
      <c r="Q239" s="99" t="s">
        <v>4696</v>
      </c>
      <c r="R239" s="95">
        <v>4369730</v>
      </c>
      <c r="T239" s="213" t="s">
        <v>980</v>
      </c>
      <c r="U239" s="213">
        <v>-4017</v>
      </c>
      <c r="V239" s="113">
        <v>273.79649999999998</v>
      </c>
      <c r="W239" s="113">
        <f t="shared" si="54"/>
        <v>-1099840.5404999999</v>
      </c>
      <c r="X239" s="99" t="s">
        <v>4444</v>
      </c>
      <c r="AH239" s="99">
        <v>26</v>
      </c>
      <c r="AI239" s="99" t="s">
        <v>4548</v>
      </c>
      <c r="AJ239" s="117">
        <v>-372326</v>
      </c>
      <c r="AK239" s="99">
        <v>21</v>
      </c>
      <c r="AL239" s="99">
        <f t="shared" si="57"/>
        <v>266</v>
      </c>
      <c r="AM239" s="20">
        <f t="shared" si="56"/>
        <v>-99038716</v>
      </c>
      <c r="AN239" s="99"/>
      <c r="AR239" t="s">
        <v>25</v>
      </c>
    </row>
    <row r="240" spans="17:44">
      <c r="Q240" s="99" t="s">
        <v>4698</v>
      </c>
      <c r="R240" s="95">
        <v>8739459</v>
      </c>
      <c r="S240" t="s">
        <v>25</v>
      </c>
      <c r="T240" s="213" t="s">
        <v>980</v>
      </c>
      <c r="U240" s="213">
        <v>4017</v>
      </c>
      <c r="V240" s="113">
        <v>273.79649999999998</v>
      </c>
      <c r="W240" s="113">
        <f t="shared" si="54"/>
        <v>1099840.5404999999</v>
      </c>
      <c r="X240" s="99" t="s">
        <v>452</v>
      </c>
      <c r="AH240" s="99">
        <v>27</v>
      </c>
      <c r="AI240" s="99" t="s">
        <v>4600</v>
      </c>
      <c r="AJ240" s="117">
        <v>235062</v>
      </c>
      <c r="AK240" s="99">
        <v>0</v>
      </c>
      <c r="AL240" s="99">
        <f t="shared" si="57"/>
        <v>245</v>
      </c>
      <c r="AM240" s="20">
        <f t="shared" si="56"/>
        <v>57590190</v>
      </c>
      <c r="AN240" s="99"/>
    </row>
    <row r="241" spans="16:43">
      <c r="Q241" s="99" t="s">
        <v>4707</v>
      </c>
      <c r="R241" s="95">
        <v>6667654</v>
      </c>
      <c r="T241" s="213" t="s">
        <v>4852</v>
      </c>
      <c r="U241" s="213">
        <v>3137</v>
      </c>
      <c r="V241" s="113">
        <v>283.69110000000001</v>
      </c>
      <c r="W241" s="113">
        <f t="shared" si="54"/>
        <v>889938.98070000007</v>
      </c>
      <c r="X241" s="99" t="s">
        <v>452</v>
      </c>
      <c r="AH241" s="149">
        <v>28</v>
      </c>
      <c r="AI241" s="149" t="s">
        <v>4600</v>
      </c>
      <c r="AJ241" s="188">
        <v>235062</v>
      </c>
      <c r="AK241" s="149">
        <v>9</v>
      </c>
      <c r="AL241" s="99">
        <f t="shared" si="57"/>
        <v>245</v>
      </c>
      <c r="AM241" s="149">
        <f t="shared" si="56"/>
        <v>57590190</v>
      </c>
      <c r="AN241" s="149" t="s">
        <v>657</v>
      </c>
    </row>
    <row r="242" spans="16:43">
      <c r="Q242" s="99" t="s">
        <v>4715</v>
      </c>
      <c r="R242" s="95">
        <v>8981245</v>
      </c>
      <c r="T242" s="213" t="s">
        <v>4865</v>
      </c>
      <c r="U242" s="213">
        <v>101933</v>
      </c>
      <c r="V242" s="113">
        <v>294.30973999999998</v>
      </c>
      <c r="W242" s="113">
        <f t="shared" si="54"/>
        <v>29999874.727419998</v>
      </c>
      <c r="X242" s="99" t="s">
        <v>1086</v>
      </c>
      <c r="AH242" s="149">
        <v>29</v>
      </c>
      <c r="AI242" s="149" t="s">
        <v>4624</v>
      </c>
      <c r="AJ242" s="188">
        <v>450000</v>
      </c>
      <c r="AK242" s="149">
        <v>0</v>
      </c>
      <c r="AL242" s="99">
        <f t="shared" si="57"/>
        <v>236</v>
      </c>
      <c r="AM242" s="149">
        <f t="shared" si="56"/>
        <v>106200000</v>
      </c>
      <c r="AN242" s="149" t="s">
        <v>657</v>
      </c>
    </row>
    <row r="243" spans="16:43">
      <c r="Q243" s="99" t="s">
        <v>4720</v>
      </c>
      <c r="R243" s="95">
        <v>9181756</v>
      </c>
      <c r="T243" s="213" t="s">
        <v>4872</v>
      </c>
      <c r="U243" s="213">
        <v>3407</v>
      </c>
      <c r="V243" s="113">
        <v>293.43799999999999</v>
      </c>
      <c r="W243" s="113">
        <f t="shared" si="54"/>
        <v>999743.26599999995</v>
      </c>
      <c r="X243" s="99" t="s">
        <v>452</v>
      </c>
      <c r="AH243" s="20">
        <v>30</v>
      </c>
      <c r="AI243" s="20" t="s">
        <v>4624</v>
      </c>
      <c r="AJ243" s="117">
        <v>450000</v>
      </c>
      <c r="AK243" s="20">
        <v>22</v>
      </c>
      <c r="AL243" s="99">
        <f>AK243+AL244</f>
        <v>236</v>
      </c>
      <c r="AM243" s="20">
        <f t="shared" si="56"/>
        <v>106200000</v>
      </c>
      <c r="AN243" s="20"/>
    </row>
    <row r="244" spans="16:43">
      <c r="Q244" s="99" t="s">
        <v>4724</v>
      </c>
      <c r="R244" s="95">
        <v>11811208</v>
      </c>
      <c r="S244" t="s">
        <v>25</v>
      </c>
      <c r="T244" s="213" t="s">
        <v>4873</v>
      </c>
      <c r="U244" s="213">
        <v>68796</v>
      </c>
      <c r="V244" s="113">
        <v>293.53250000000003</v>
      </c>
      <c r="W244" s="113">
        <f t="shared" si="54"/>
        <v>20193861.870000001</v>
      </c>
      <c r="X244" s="99" t="s">
        <v>751</v>
      </c>
      <c r="AH244" s="149">
        <v>31</v>
      </c>
      <c r="AI244" s="149" t="s">
        <v>4698</v>
      </c>
      <c r="AJ244" s="188">
        <v>300000</v>
      </c>
      <c r="AK244" s="149">
        <v>0</v>
      </c>
      <c r="AL244" s="149">
        <f t="shared" ref="AL244:AL259" si="58">AK244+AL245</f>
        <v>214</v>
      </c>
      <c r="AM244" s="149">
        <f t="shared" ref="AM244:AM247" si="59">AJ244*AL244</f>
        <v>64200000</v>
      </c>
      <c r="AN244" s="149"/>
    </row>
    <row r="245" spans="16:43" ht="30">
      <c r="Q245" s="99" t="s">
        <v>4738</v>
      </c>
      <c r="R245" s="95">
        <v>41248054</v>
      </c>
      <c r="S245" t="s">
        <v>25</v>
      </c>
      <c r="T245" s="213" t="s">
        <v>4873</v>
      </c>
      <c r="U245" s="213">
        <v>154791</v>
      </c>
      <c r="V245" s="113">
        <v>293.53250000000003</v>
      </c>
      <c r="W245" s="113">
        <f t="shared" si="54"/>
        <v>45436189.207500003</v>
      </c>
      <c r="X245" s="99" t="s">
        <v>452</v>
      </c>
      <c r="AH245" s="121">
        <v>32</v>
      </c>
      <c r="AI245" s="121" t="s">
        <v>4698</v>
      </c>
      <c r="AJ245" s="79">
        <v>288936</v>
      </c>
      <c r="AK245" s="121">
        <v>3</v>
      </c>
      <c r="AL245" s="121">
        <f t="shared" si="58"/>
        <v>214</v>
      </c>
      <c r="AM245" s="121">
        <f t="shared" si="59"/>
        <v>61832304</v>
      </c>
      <c r="AN245" s="205" t="s">
        <v>4709</v>
      </c>
    </row>
    <row r="246" spans="16:43">
      <c r="Q246" s="99" t="s">
        <v>4746</v>
      </c>
      <c r="R246" s="95">
        <v>37328780</v>
      </c>
      <c r="T246" s="213" t="s">
        <v>4873</v>
      </c>
      <c r="U246" s="213">
        <v>-11923</v>
      </c>
      <c r="V246" s="113">
        <v>293.53250000000003</v>
      </c>
      <c r="W246" s="113">
        <f t="shared" si="54"/>
        <v>-3499787.9975000005</v>
      </c>
      <c r="X246" s="99" t="s">
        <v>452</v>
      </c>
      <c r="AH246" s="121">
        <v>33</v>
      </c>
      <c r="AI246" s="121" t="s">
        <v>4707</v>
      </c>
      <c r="AJ246" s="79">
        <v>17962491</v>
      </c>
      <c r="AK246" s="121">
        <v>1</v>
      </c>
      <c r="AL246" s="121">
        <f t="shared" si="58"/>
        <v>211</v>
      </c>
      <c r="AM246" s="121">
        <f t="shared" si="59"/>
        <v>3790085601</v>
      </c>
      <c r="AN246" s="121" t="s">
        <v>4714</v>
      </c>
    </row>
    <row r="247" spans="16:43">
      <c r="P247" t="s">
        <v>25</v>
      </c>
      <c r="Q247" s="99" t="s">
        <v>4836</v>
      </c>
      <c r="R247" s="95">
        <v>-2194100</v>
      </c>
      <c r="T247" s="213" t="s">
        <v>4887</v>
      </c>
      <c r="U247" s="213">
        <v>8424</v>
      </c>
      <c r="V247" s="113">
        <v>299.15170000000001</v>
      </c>
      <c r="W247" s="113">
        <f t="shared" si="54"/>
        <v>2520053.9208</v>
      </c>
      <c r="X247" s="99" t="s">
        <v>452</v>
      </c>
      <c r="AH247" s="121">
        <v>34</v>
      </c>
      <c r="AI247" s="121" t="s">
        <v>3683</v>
      </c>
      <c r="AJ247" s="79">
        <v>18363511</v>
      </c>
      <c r="AK247" s="121">
        <v>1</v>
      </c>
      <c r="AL247" s="121">
        <f t="shared" si="58"/>
        <v>210</v>
      </c>
      <c r="AM247" s="121">
        <f t="shared" si="59"/>
        <v>3856337310</v>
      </c>
      <c r="AN247" s="121" t="s">
        <v>4714</v>
      </c>
    </row>
    <row r="248" spans="16:43">
      <c r="Q248" s="99" t="s">
        <v>4873</v>
      </c>
      <c r="R248" s="95">
        <v>20193916</v>
      </c>
      <c r="T248" s="213" t="s">
        <v>4922</v>
      </c>
      <c r="U248" s="213">
        <v>15943</v>
      </c>
      <c r="V248" s="113">
        <v>307.34415000000001</v>
      </c>
      <c r="W248" s="113">
        <f t="shared" si="54"/>
        <v>4899987.78345</v>
      </c>
      <c r="X248" s="99" t="s">
        <v>452</v>
      </c>
      <c r="AH248" s="121">
        <v>35</v>
      </c>
      <c r="AI248" s="121" t="s">
        <v>4720</v>
      </c>
      <c r="AJ248" s="79">
        <v>23622417</v>
      </c>
      <c r="AK248" s="121">
        <v>5</v>
      </c>
      <c r="AL248" s="121">
        <f t="shared" si="58"/>
        <v>209</v>
      </c>
      <c r="AM248" s="121">
        <f t="shared" ref="AM248:AM251" si="60">AJ248*AL248</f>
        <v>4937085153</v>
      </c>
      <c r="AN248" s="121" t="s">
        <v>4723</v>
      </c>
    </row>
    <row r="249" spans="16:43">
      <c r="Q249" s="99" t="s">
        <v>4949</v>
      </c>
      <c r="R249" s="95">
        <v>-2000000</v>
      </c>
      <c r="T249" s="213" t="s">
        <v>4943</v>
      </c>
      <c r="U249" s="213">
        <v>3741</v>
      </c>
      <c r="V249" s="113">
        <v>307.34415000000001</v>
      </c>
      <c r="W249" s="113">
        <f t="shared" si="54"/>
        <v>1149774.4651500001</v>
      </c>
      <c r="X249" s="99" t="s">
        <v>452</v>
      </c>
      <c r="AH249" s="121">
        <v>36</v>
      </c>
      <c r="AI249" s="121" t="s">
        <v>4736</v>
      </c>
      <c r="AJ249" s="79">
        <v>82496108</v>
      </c>
      <c r="AK249" s="121">
        <v>1</v>
      </c>
      <c r="AL249" s="121">
        <f t="shared" si="58"/>
        <v>204</v>
      </c>
      <c r="AM249" s="121">
        <f t="shared" si="60"/>
        <v>16829206032</v>
      </c>
      <c r="AN249" s="121" t="s">
        <v>4739</v>
      </c>
      <c r="AP249" t="s">
        <v>25</v>
      </c>
    </row>
    <row r="250" spans="16:43">
      <c r="Q250" s="99" t="s">
        <v>5031</v>
      </c>
      <c r="R250" s="95">
        <v>6800000</v>
      </c>
      <c r="S250" t="s">
        <v>25</v>
      </c>
      <c r="T250" s="213" t="s">
        <v>4949</v>
      </c>
      <c r="U250" s="213">
        <v>-6207</v>
      </c>
      <c r="V250" s="113">
        <v>322.214</v>
      </c>
      <c r="W250" s="113">
        <f t="shared" si="54"/>
        <v>-1999982.298</v>
      </c>
      <c r="X250" s="99" t="s">
        <v>751</v>
      </c>
      <c r="Y250" t="s">
        <v>25</v>
      </c>
      <c r="AH250" s="121">
        <v>37</v>
      </c>
      <c r="AI250" s="121" t="s">
        <v>4738</v>
      </c>
      <c r="AJ250" s="79">
        <v>74657561</v>
      </c>
      <c r="AK250" s="121">
        <v>16</v>
      </c>
      <c r="AL250" s="121">
        <f t="shared" si="58"/>
        <v>203</v>
      </c>
      <c r="AM250" s="121">
        <f t="shared" si="60"/>
        <v>15155484883</v>
      </c>
      <c r="AN250" s="121" t="s">
        <v>4745</v>
      </c>
    </row>
    <row r="251" spans="16:43">
      <c r="Q251" s="99" t="s">
        <v>5047</v>
      </c>
      <c r="R251" s="95">
        <v>850000</v>
      </c>
      <c r="T251" s="213" t="s">
        <v>4949</v>
      </c>
      <c r="U251" s="213">
        <v>6207</v>
      </c>
      <c r="V251" s="113">
        <v>322.214</v>
      </c>
      <c r="W251" s="113">
        <f t="shared" si="54"/>
        <v>1999982.298</v>
      </c>
      <c r="X251" s="99" t="s">
        <v>4444</v>
      </c>
      <c r="Y251" t="s">
        <v>25</v>
      </c>
      <c r="AH251" s="99">
        <v>38</v>
      </c>
      <c r="AI251" s="99" t="s">
        <v>4817</v>
      </c>
      <c r="AJ251" s="117">
        <v>665000</v>
      </c>
      <c r="AK251" s="99">
        <v>0</v>
      </c>
      <c r="AL251" s="99">
        <f t="shared" si="58"/>
        <v>187</v>
      </c>
      <c r="AM251" s="20">
        <f t="shared" si="60"/>
        <v>124355000</v>
      </c>
      <c r="AN251" s="99"/>
    </row>
    <row r="252" spans="16:43">
      <c r="Q252" s="99" t="s">
        <v>5057</v>
      </c>
      <c r="R252" s="95">
        <v>2290500</v>
      </c>
      <c r="T252" s="213" t="s">
        <v>4894</v>
      </c>
      <c r="U252" s="213">
        <v>776</v>
      </c>
      <c r="V252" s="113">
        <v>322.214</v>
      </c>
      <c r="W252" s="113">
        <f t="shared" si="54"/>
        <v>250038.06400000001</v>
      </c>
      <c r="X252" s="99" t="s">
        <v>452</v>
      </c>
      <c r="AH252" s="149">
        <v>39</v>
      </c>
      <c r="AI252" s="149" t="s">
        <v>4817</v>
      </c>
      <c r="AJ252" s="188">
        <v>665000</v>
      </c>
      <c r="AK252" s="149">
        <v>4</v>
      </c>
      <c r="AL252" s="195">
        <f t="shared" si="58"/>
        <v>187</v>
      </c>
      <c r="AM252" s="195">
        <f t="shared" ref="AM252:AM253" si="61">AJ252*AL252</f>
        <v>124355000</v>
      </c>
      <c r="AN252" s="195"/>
    </row>
    <row r="253" spans="16:43">
      <c r="Q253" s="99" t="s">
        <v>5073</v>
      </c>
      <c r="R253" s="95">
        <v>400000</v>
      </c>
      <c r="S253" t="s">
        <v>25</v>
      </c>
      <c r="T253" s="213" t="s">
        <v>4975</v>
      </c>
      <c r="U253" s="213">
        <v>1524</v>
      </c>
      <c r="V253" s="113">
        <v>314.95999999999998</v>
      </c>
      <c r="W253" s="113">
        <f t="shared" si="54"/>
        <v>479999.04</v>
      </c>
      <c r="X253" s="99" t="s">
        <v>1086</v>
      </c>
      <c r="AH253" s="20">
        <v>40</v>
      </c>
      <c r="AI253" s="20" t="s">
        <v>4831</v>
      </c>
      <c r="AJ253" s="117">
        <v>2000000</v>
      </c>
      <c r="AK253" s="20">
        <v>1</v>
      </c>
      <c r="AL253" s="99">
        <f t="shared" si="58"/>
        <v>183</v>
      </c>
      <c r="AM253" s="20">
        <f t="shared" si="61"/>
        <v>366000000</v>
      </c>
      <c r="AN253" s="99"/>
      <c r="AQ253" t="s">
        <v>25</v>
      </c>
    </row>
    <row r="254" spans="16:43">
      <c r="Q254" s="99" t="s">
        <v>5080</v>
      </c>
      <c r="R254" s="95">
        <v>150000</v>
      </c>
      <c r="T254" s="213" t="s">
        <v>4984</v>
      </c>
      <c r="U254" s="213">
        <v>4435</v>
      </c>
      <c r="V254" s="113">
        <v>316.4375</v>
      </c>
      <c r="W254" s="113">
        <f t="shared" si="54"/>
        <v>1403400.3125</v>
      </c>
      <c r="X254" s="99" t="s">
        <v>452</v>
      </c>
      <c r="AH254" s="20">
        <v>41</v>
      </c>
      <c r="AI254" s="20" t="s">
        <v>4836</v>
      </c>
      <c r="AJ254" s="117">
        <v>-2060725</v>
      </c>
      <c r="AK254" s="20">
        <v>0</v>
      </c>
      <c r="AL254" s="99">
        <f t="shared" si="58"/>
        <v>182</v>
      </c>
      <c r="AM254" s="20">
        <f t="shared" ref="AM254:AM259" si="62">AJ254*AL254</f>
        <v>-375051950</v>
      </c>
      <c r="AN254" s="99" t="s">
        <v>4837</v>
      </c>
    </row>
    <row r="255" spans="16:43">
      <c r="Q255" s="99" t="s">
        <v>5116</v>
      </c>
      <c r="R255" s="95">
        <v>-144950</v>
      </c>
      <c r="T255" s="213" t="s">
        <v>4989</v>
      </c>
      <c r="U255" s="213">
        <v>624</v>
      </c>
      <c r="V255" s="113">
        <v>320.5</v>
      </c>
      <c r="W255" s="113">
        <f t="shared" si="54"/>
        <v>199992</v>
      </c>
      <c r="X255" s="99" t="s">
        <v>452</v>
      </c>
      <c r="AH255" s="149">
        <v>42</v>
      </c>
      <c r="AI255" s="149" t="s">
        <v>4836</v>
      </c>
      <c r="AJ255" s="188">
        <v>-433375</v>
      </c>
      <c r="AK255" s="149">
        <v>0</v>
      </c>
      <c r="AL255" s="149">
        <f t="shared" si="58"/>
        <v>182</v>
      </c>
      <c r="AM255" s="149">
        <f t="shared" si="62"/>
        <v>-78874250</v>
      </c>
      <c r="AN255" s="149" t="s">
        <v>4838</v>
      </c>
    </row>
    <row r="256" spans="16:43">
      <c r="Q256" s="99" t="s">
        <v>5156</v>
      </c>
      <c r="R256" s="95">
        <v>320000</v>
      </c>
      <c r="T256" s="213" t="s">
        <v>4996</v>
      </c>
      <c r="U256" s="213">
        <v>1086</v>
      </c>
      <c r="V256" s="113">
        <v>317.55</v>
      </c>
      <c r="W256" s="113">
        <f t="shared" si="54"/>
        <v>344859.3</v>
      </c>
      <c r="X256" s="99" t="s">
        <v>452</v>
      </c>
      <c r="AH256" s="20">
        <v>43</v>
      </c>
      <c r="AI256" s="20" t="s">
        <v>4836</v>
      </c>
      <c r="AJ256" s="117">
        <v>28000000</v>
      </c>
      <c r="AK256" s="20">
        <v>1</v>
      </c>
      <c r="AL256" s="99">
        <f t="shared" si="58"/>
        <v>182</v>
      </c>
      <c r="AM256" s="20">
        <f t="shared" si="62"/>
        <v>5096000000</v>
      </c>
      <c r="AN256" s="99" t="s">
        <v>3890</v>
      </c>
    </row>
    <row r="257" spans="17:45">
      <c r="Q257" s="99" t="s">
        <v>5161</v>
      </c>
      <c r="R257" s="95">
        <v>500000</v>
      </c>
      <c r="S257" t="s">
        <v>25</v>
      </c>
      <c r="T257" s="213" t="s">
        <v>5002</v>
      </c>
      <c r="U257" s="213">
        <v>2820</v>
      </c>
      <c r="V257" s="113">
        <v>319.1096</v>
      </c>
      <c r="W257" s="113">
        <f t="shared" si="54"/>
        <v>899889.07200000004</v>
      </c>
      <c r="X257" s="99" t="s">
        <v>452</v>
      </c>
      <c r="AH257" s="20">
        <v>44</v>
      </c>
      <c r="AI257" s="20" t="s">
        <v>4845</v>
      </c>
      <c r="AJ257" s="117">
        <v>160000</v>
      </c>
      <c r="AK257" s="20">
        <v>0</v>
      </c>
      <c r="AL257" s="99">
        <f t="shared" si="58"/>
        <v>181</v>
      </c>
      <c r="AM257" s="20">
        <f t="shared" si="62"/>
        <v>28960000</v>
      </c>
      <c r="AN257" s="99"/>
    </row>
    <row r="258" spans="17:45">
      <c r="Q258" s="99" t="s">
        <v>5224</v>
      </c>
      <c r="R258" s="95">
        <v>400000</v>
      </c>
      <c r="S258" t="s">
        <v>25</v>
      </c>
      <c r="T258" s="213" t="s">
        <v>5006</v>
      </c>
      <c r="U258" s="213">
        <v>1145</v>
      </c>
      <c r="V258" s="113">
        <v>325.44</v>
      </c>
      <c r="W258" s="113">
        <f t="shared" si="54"/>
        <v>372628.8</v>
      </c>
      <c r="X258" s="99" t="s">
        <v>452</v>
      </c>
      <c r="Z258" t="s">
        <v>25</v>
      </c>
      <c r="AH258" s="149">
        <v>45</v>
      </c>
      <c r="AI258" s="149" t="s">
        <v>4845</v>
      </c>
      <c r="AJ258" s="188">
        <v>70000</v>
      </c>
      <c r="AK258" s="149">
        <v>9</v>
      </c>
      <c r="AL258" s="149">
        <f t="shared" si="58"/>
        <v>181</v>
      </c>
      <c r="AM258" s="149">
        <f t="shared" si="62"/>
        <v>12670000</v>
      </c>
      <c r="AN258" s="149"/>
    </row>
    <row r="259" spans="17:45">
      <c r="Q259" s="99" t="s">
        <v>5230</v>
      </c>
      <c r="R259" s="95">
        <v>50000</v>
      </c>
      <c r="S259" t="s">
        <v>25</v>
      </c>
      <c r="T259" s="213" t="s">
        <v>5017</v>
      </c>
      <c r="U259" s="213">
        <v>20153</v>
      </c>
      <c r="V259" s="113">
        <v>322</v>
      </c>
      <c r="W259" s="113">
        <f t="shared" si="54"/>
        <v>6489266</v>
      </c>
      <c r="X259" s="99" t="s">
        <v>452</v>
      </c>
      <c r="AH259" s="20">
        <v>46</v>
      </c>
      <c r="AI259" s="20" t="s">
        <v>4852</v>
      </c>
      <c r="AJ259" s="117">
        <v>850000</v>
      </c>
      <c r="AK259" s="20">
        <v>0</v>
      </c>
      <c r="AL259" s="99">
        <f t="shared" si="58"/>
        <v>172</v>
      </c>
      <c r="AM259" s="20">
        <f t="shared" si="62"/>
        <v>146200000</v>
      </c>
      <c r="AN259" s="99"/>
    </row>
    <row r="260" spans="17:45">
      <c r="Q260" s="99" t="s">
        <v>5241</v>
      </c>
      <c r="R260" s="95">
        <v>300000</v>
      </c>
      <c r="T260" s="213" t="s">
        <v>5031</v>
      </c>
      <c r="U260" s="213">
        <v>93720</v>
      </c>
      <c r="V260" s="113">
        <v>325.435</v>
      </c>
      <c r="W260" s="113">
        <f t="shared" si="54"/>
        <v>30499768.199999999</v>
      </c>
      <c r="X260" s="99" t="s">
        <v>1086</v>
      </c>
      <c r="AH260" s="195">
        <v>47</v>
      </c>
      <c r="AI260" s="195" t="s">
        <v>4852</v>
      </c>
      <c r="AJ260" s="196">
        <v>20000</v>
      </c>
      <c r="AK260" s="195">
        <v>4</v>
      </c>
      <c r="AL260" s="195">
        <f t="shared" ref="AL260:AL268" si="63">AK260+AL261</f>
        <v>172</v>
      </c>
      <c r="AM260" s="195">
        <f t="shared" ref="AM260:AM268" si="64">AJ260*AL260</f>
        <v>3440000</v>
      </c>
      <c r="AN260" s="195"/>
    </row>
    <row r="261" spans="17:45">
      <c r="Q261" s="99"/>
      <c r="R261" s="95"/>
      <c r="T261" s="213" t="s">
        <v>5031</v>
      </c>
      <c r="U261" s="213">
        <v>20895</v>
      </c>
      <c r="V261" s="113">
        <v>325.435</v>
      </c>
      <c r="W261" s="113">
        <f t="shared" si="54"/>
        <v>6799964.3250000002</v>
      </c>
      <c r="X261" s="99" t="s">
        <v>751</v>
      </c>
      <c r="AH261" s="195">
        <v>48</v>
      </c>
      <c r="AI261" s="195" t="s">
        <v>4865</v>
      </c>
      <c r="AJ261" s="196">
        <v>30000000</v>
      </c>
      <c r="AK261" s="195">
        <v>27</v>
      </c>
      <c r="AL261" s="195">
        <f t="shared" si="63"/>
        <v>168</v>
      </c>
      <c r="AM261" s="195">
        <f t="shared" si="64"/>
        <v>5040000000</v>
      </c>
      <c r="AN261" s="195" t="s">
        <v>4866</v>
      </c>
    </row>
    <row r="262" spans="17:45">
      <c r="Q262" s="99"/>
      <c r="R262" s="95"/>
      <c r="T262" s="213" t="s">
        <v>5047</v>
      </c>
      <c r="U262" s="213">
        <v>2611</v>
      </c>
      <c r="V262" s="113">
        <v>325.435</v>
      </c>
      <c r="W262" s="113">
        <f t="shared" si="54"/>
        <v>849710.78500000003</v>
      </c>
      <c r="X262" s="99" t="s">
        <v>751</v>
      </c>
      <c r="AH262" s="20">
        <v>49</v>
      </c>
      <c r="AI262" s="20" t="s">
        <v>4943</v>
      </c>
      <c r="AJ262" s="117">
        <v>1100000</v>
      </c>
      <c r="AK262" s="20">
        <v>1</v>
      </c>
      <c r="AL262" s="20">
        <f t="shared" si="63"/>
        <v>141</v>
      </c>
      <c r="AM262" s="20">
        <f t="shared" si="64"/>
        <v>155100000</v>
      </c>
      <c r="AN262" s="20"/>
    </row>
    <row r="263" spans="17:45">
      <c r="Q263" s="99"/>
      <c r="R263" s="95">
        <f>SUM(R227:R262)</f>
        <v>436151825</v>
      </c>
      <c r="T263" s="213" t="s">
        <v>5057</v>
      </c>
      <c r="U263" s="213">
        <v>6750</v>
      </c>
      <c r="V263" s="113">
        <v>339.3</v>
      </c>
      <c r="W263" s="113">
        <f t="shared" si="54"/>
        <v>2290275</v>
      </c>
      <c r="X263" s="99" t="s">
        <v>751</v>
      </c>
      <c r="AH263" s="20">
        <v>50</v>
      </c>
      <c r="AI263" s="20" t="s">
        <v>4945</v>
      </c>
      <c r="AJ263" s="117">
        <v>450000</v>
      </c>
      <c r="AK263" s="20">
        <v>0</v>
      </c>
      <c r="AL263" s="20">
        <f t="shared" si="63"/>
        <v>140</v>
      </c>
      <c r="AM263" s="20">
        <f t="shared" si="64"/>
        <v>63000000</v>
      </c>
      <c r="AN263" s="20"/>
    </row>
    <row r="264" spans="17:45">
      <c r="Q264" s="99"/>
      <c r="R264" s="99" t="s">
        <v>6</v>
      </c>
      <c r="S264" t="s">
        <v>25</v>
      </c>
      <c r="T264" s="213" t="s">
        <v>5073</v>
      </c>
      <c r="U264" s="213">
        <v>1850</v>
      </c>
      <c r="V264" s="113">
        <v>334.10050000000001</v>
      </c>
      <c r="W264" s="113">
        <f t="shared" si="54"/>
        <v>618085.92500000005</v>
      </c>
      <c r="X264" s="99" t="s">
        <v>452</v>
      </c>
      <c r="AH264" s="149">
        <v>51</v>
      </c>
      <c r="AI264" s="149" t="s">
        <v>4945</v>
      </c>
      <c r="AJ264" s="188">
        <v>550000</v>
      </c>
      <c r="AK264" s="149">
        <v>1</v>
      </c>
      <c r="AL264" s="149">
        <f t="shared" si="63"/>
        <v>140</v>
      </c>
      <c r="AM264" s="149">
        <f t="shared" si="64"/>
        <v>77000000</v>
      </c>
      <c r="AN264" s="149"/>
    </row>
    <row r="265" spans="17:45">
      <c r="T265" s="213" t="s">
        <v>5073</v>
      </c>
      <c r="U265" s="213">
        <v>-1194</v>
      </c>
      <c r="V265" s="113">
        <v>335</v>
      </c>
      <c r="W265" s="113">
        <f t="shared" si="54"/>
        <v>-399990</v>
      </c>
      <c r="X265" s="99" t="s">
        <v>4444</v>
      </c>
      <c r="AH265" s="149">
        <v>52</v>
      </c>
      <c r="AI265" s="149" t="s">
        <v>4947</v>
      </c>
      <c r="AJ265" s="188">
        <v>1000000</v>
      </c>
      <c r="AK265" s="149">
        <v>8</v>
      </c>
      <c r="AL265" s="149">
        <f t="shared" si="63"/>
        <v>139</v>
      </c>
      <c r="AM265" s="149">
        <f t="shared" si="64"/>
        <v>139000000</v>
      </c>
      <c r="AN265" s="149"/>
    </row>
    <row r="266" spans="17:45">
      <c r="T266" s="213" t="s">
        <v>5073</v>
      </c>
      <c r="U266" s="213">
        <v>1194</v>
      </c>
      <c r="V266" s="113">
        <v>335</v>
      </c>
      <c r="W266" s="113">
        <f t="shared" si="54"/>
        <v>399990</v>
      </c>
      <c r="X266" s="99" t="s">
        <v>751</v>
      </c>
      <c r="AH266" s="20">
        <v>53</v>
      </c>
      <c r="AI266" s="20" t="s">
        <v>4957</v>
      </c>
      <c r="AJ266" s="117">
        <v>-2668880</v>
      </c>
      <c r="AK266" s="20">
        <v>0</v>
      </c>
      <c r="AL266" s="20">
        <f t="shared" si="63"/>
        <v>131</v>
      </c>
      <c r="AM266" s="20">
        <f t="shared" si="64"/>
        <v>-349623280</v>
      </c>
      <c r="AN266" s="20" t="s">
        <v>4959</v>
      </c>
    </row>
    <row r="267" spans="17:45">
      <c r="Q267" s="99" t="s">
        <v>452</v>
      </c>
      <c r="R267" s="99"/>
      <c r="T267" s="213" t="s">
        <v>5080</v>
      </c>
      <c r="U267" s="213">
        <v>433</v>
      </c>
      <c r="V267" s="113">
        <v>345.68</v>
      </c>
      <c r="W267" s="113">
        <f t="shared" si="54"/>
        <v>149679.44</v>
      </c>
      <c r="X267" s="99" t="s">
        <v>751</v>
      </c>
      <c r="Y267" t="s">
        <v>25</v>
      </c>
      <c r="AH267" s="149">
        <v>54</v>
      </c>
      <c r="AI267" s="149" t="s">
        <v>4957</v>
      </c>
      <c r="AJ267" s="188">
        <v>-1528620</v>
      </c>
      <c r="AK267" s="149">
        <v>0</v>
      </c>
      <c r="AL267" s="149">
        <f t="shared" si="63"/>
        <v>131</v>
      </c>
      <c r="AM267" s="149">
        <f t="shared" si="64"/>
        <v>-200249220</v>
      </c>
      <c r="AN267" s="149" t="s">
        <v>4959</v>
      </c>
      <c r="AS267" t="s">
        <v>25</v>
      </c>
    </row>
    <row r="268" spans="17:45">
      <c r="Q268" s="99" t="s">
        <v>4437</v>
      </c>
      <c r="R268" s="95">
        <v>63115000</v>
      </c>
      <c r="T268" s="213" t="s">
        <v>5087</v>
      </c>
      <c r="U268" s="213">
        <v>55459</v>
      </c>
      <c r="V268" s="113">
        <v>362.51978000000003</v>
      </c>
      <c r="W268" s="113">
        <f t="shared" si="54"/>
        <v>20104984.479020003</v>
      </c>
      <c r="X268" s="99" t="s">
        <v>452</v>
      </c>
      <c r="AA268" t="s">
        <v>25</v>
      </c>
      <c r="AH268" s="20">
        <v>55</v>
      </c>
      <c r="AI268" s="20" t="s">
        <v>4957</v>
      </c>
      <c r="AJ268" s="117">
        <v>50000000</v>
      </c>
      <c r="AK268" s="20">
        <v>4</v>
      </c>
      <c r="AL268" s="20">
        <f t="shared" si="63"/>
        <v>131</v>
      </c>
      <c r="AM268" s="20">
        <f t="shared" si="64"/>
        <v>6550000000</v>
      </c>
      <c r="AN268" s="20"/>
    </row>
    <row r="269" spans="17:45">
      <c r="Q269" s="99" t="s">
        <v>4491</v>
      </c>
      <c r="R269" s="95">
        <v>13300000</v>
      </c>
      <c r="T269" s="213" t="s">
        <v>5092</v>
      </c>
      <c r="U269" s="213">
        <v>-57212</v>
      </c>
      <c r="V269" s="113">
        <v>368.45400000000001</v>
      </c>
      <c r="W269" s="113">
        <f t="shared" si="54"/>
        <v>-21079990.248</v>
      </c>
      <c r="X269" s="99" t="s">
        <v>452</v>
      </c>
      <c r="AH269" s="20">
        <v>56</v>
      </c>
      <c r="AI269" s="20" t="s">
        <v>4963</v>
      </c>
      <c r="AJ269" s="117">
        <v>400000</v>
      </c>
      <c r="AK269" s="20">
        <v>4</v>
      </c>
      <c r="AL269" s="20">
        <f t="shared" ref="AL269:AL278" si="65">AK269+AL270</f>
        <v>127</v>
      </c>
      <c r="AM269" s="20">
        <f t="shared" ref="AM269:AM278" si="66">AJ269*AL269</f>
        <v>50800000</v>
      </c>
      <c r="AN269" s="20"/>
    </row>
    <row r="270" spans="17:45">
      <c r="Q270" s="99" t="s">
        <v>4499</v>
      </c>
      <c r="R270" s="95">
        <v>2269000</v>
      </c>
      <c r="T270" s="213" t="s">
        <v>5093</v>
      </c>
      <c r="U270" s="213">
        <v>-15881</v>
      </c>
      <c r="V270" s="113">
        <v>374.61599999999999</v>
      </c>
      <c r="W270" s="113">
        <f t="shared" si="54"/>
        <v>-5949276.6959999995</v>
      </c>
      <c r="X270" s="99" t="s">
        <v>452</v>
      </c>
      <c r="AH270" s="20">
        <v>57</v>
      </c>
      <c r="AI270" s="20" t="s">
        <v>4975</v>
      </c>
      <c r="AJ270" s="117">
        <v>2000000</v>
      </c>
      <c r="AK270" s="20">
        <v>3</v>
      </c>
      <c r="AL270" s="20">
        <f t="shared" si="65"/>
        <v>123</v>
      </c>
      <c r="AM270" s="20">
        <f t="shared" si="66"/>
        <v>246000000</v>
      </c>
      <c r="AN270" s="20"/>
    </row>
    <row r="271" spans="17:45">
      <c r="Q271" s="99" t="s">
        <v>4614</v>
      </c>
      <c r="R271" s="95">
        <v>25071612</v>
      </c>
      <c r="S271" t="s">
        <v>25</v>
      </c>
      <c r="T271" s="213" t="s">
        <v>5100</v>
      </c>
      <c r="U271" s="213">
        <v>-41289</v>
      </c>
      <c r="V271" s="113">
        <v>372.27</v>
      </c>
      <c r="W271" s="113">
        <f t="shared" si="54"/>
        <v>-15370656.029999999</v>
      </c>
      <c r="X271" s="99" t="s">
        <v>452</v>
      </c>
      <c r="AH271" s="20">
        <v>58</v>
      </c>
      <c r="AI271" s="20" t="s">
        <v>4978</v>
      </c>
      <c r="AJ271" s="117">
        <v>100000</v>
      </c>
      <c r="AK271" s="20">
        <v>4</v>
      </c>
      <c r="AL271" s="20">
        <f t="shared" si="65"/>
        <v>120</v>
      </c>
      <c r="AM271" s="20">
        <f t="shared" si="66"/>
        <v>12000000</v>
      </c>
      <c r="AN271" s="20" t="s">
        <v>3890</v>
      </c>
      <c r="AR271" t="s">
        <v>25</v>
      </c>
    </row>
    <row r="272" spans="17:45">
      <c r="Q272" s="99" t="s">
        <v>4623</v>
      </c>
      <c r="R272" s="95">
        <v>42236984</v>
      </c>
      <c r="T272" s="213" t="s">
        <v>5107</v>
      </c>
      <c r="U272" s="213">
        <v>13563</v>
      </c>
      <c r="V272" s="113">
        <v>365.69799999999998</v>
      </c>
      <c r="W272" s="113">
        <f t="shared" si="54"/>
        <v>4959961.9739999995</v>
      </c>
      <c r="X272" s="99" t="s">
        <v>452</v>
      </c>
      <c r="AH272" s="20">
        <v>59</v>
      </c>
      <c r="AI272" s="20" t="s">
        <v>4989</v>
      </c>
      <c r="AJ272" s="117">
        <v>100000</v>
      </c>
      <c r="AK272" s="20">
        <v>7</v>
      </c>
      <c r="AL272" s="20">
        <f t="shared" si="65"/>
        <v>116</v>
      </c>
      <c r="AM272" s="20">
        <f t="shared" si="66"/>
        <v>11600000</v>
      </c>
      <c r="AN272" s="20"/>
    </row>
    <row r="273" spans="17:40">
      <c r="Q273" s="99" t="s">
        <v>4624</v>
      </c>
      <c r="R273" s="95">
        <v>19663646</v>
      </c>
      <c r="T273" s="213" t="s">
        <v>5107</v>
      </c>
      <c r="U273" s="213">
        <v>27344</v>
      </c>
      <c r="V273" s="113">
        <v>365.69799999999998</v>
      </c>
      <c r="W273" s="113">
        <f t="shared" si="54"/>
        <v>9999646.1119999997</v>
      </c>
      <c r="X273" s="99" t="s">
        <v>452</v>
      </c>
      <c r="Y273" t="s">
        <v>25</v>
      </c>
      <c r="AH273" s="20">
        <v>60</v>
      </c>
      <c r="AI273" s="20" t="s">
        <v>5006</v>
      </c>
      <c r="AJ273" s="117">
        <v>50000</v>
      </c>
      <c r="AK273" s="20">
        <v>0</v>
      </c>
      <c r="AL273" s="20">
        <f t="shared" si="65"/>
        <v>109</v>
      </c>
      <c r="AM273" s="20">
        <f t="shared" si="66"/>
        <v>5450000</v>
      </c>
      <c r="AN273" s="20"/>
    </row>
    <row r="274" spans="17:40" ht="30">
      <c r="Q274" s="99" t="s">
        <v>4648</v>
      </c>
      <c r="R274" s="95">
        <v>4374525</v>
      </c>
      <c r="T274" s="213" t="s">
        <v>5116</v>
      </c>
      <c r="U274" s="213">
        <v>-103145</v>
      </c>
      <c r="V274" s="113">
        <v>393.334</v>
      </c>
      <c r="W274" s="113">
        <f t="shared" si="54"/>
        <v>-40570435.43</v>
      </c>
      <c r="X274" s="36" t="s">
        <v>5128</v>
      </c>
      <c r="Y274" t="s">
        <v>25</v>
      </c>
      <c r="AH274" s="149">
        <v>61</v>
      </c>
      <c r="AI274" s="149" t="s">
        <v>5006</v>
      </c>
      <c r="AJ274" s="188">
        <v>50000</v>
      </c>
      <c r="AK274" s="149">
        <v>3</v>
      </c>
      <c r="AL274" s="149">
        <f t="shared" si="65"/>
        <v>109</v>
      </c>
      <c r="AM274" s="149">
        <f t="shared" si="66"/>
        <v>5450000</v>
      </c>
      <c r="AN274" s="149"/>
    </row>
    <row r="275" spans="17:40">
      <c r="Q275" s="99" t="s">
        <v>4660</v>
      </c>
      <c r="R275" s="95">
        <v>6550580</v>
      </c>
      <c r="T275" s="213" t="s">
        <v>5116</v>
      </c>
      <c r="U275" s="213">
        <v>-369</v>
      </c>
      <c r="V275" s="113">
        <v>393.334</v>
      </c>
      <c r="W275" s="113">
        <f t="shared" si="54"/>
        <v>-145140.24600000001</v>
      </c>
      <c r="X275" s="36" t="s">
        <v>5232</v>
      </c>
      <c r="AH275" s="20">
        <v>62</v>
      </c>
      <c r="AI275" s="20" t="s">
        <v>5011</v>
      </c>
      <c r="AJ275" s="117">
        <v>50000</v>
      </c>
      <c r="AK275" s="20">
        <v>0</v>
      </c>
      <c r="AL275" s="20">
        <f t="shared" si="65"/>
        <v>106</v>
      </c>
      <c r="AM275" s="20">
        <f t="shared" si="66"/>
        <v>5300000</v>
      </c>
      <c r="AN275" s="20"/>
    </row>
    <row r="276" spans="17:40">
      <c r="Q276" s="99" t="s">
        <v>4662</v>
      </c>
      <c r="R276" s="95">
        <v>7054895</v>
      </c>
      <c r="T276" s="213" t="s">
        <v>5116</v>
      </c>
      <c r="U276" s="213">
        <v>-889</v>
      </c>
      <c r="V276" s="113">
        <v>393.334</v>
      </c>
      <c r="W276" s="113">
        <f t="shared" si="54"/>
        <v>-349673.92599999998</v>
      </c>
      <c r="X276" s="36" t="s">
        <v>5233</v>
      </c>
      <c r="AH276" s="195">
        <v>63</v>
      </c>
      <c r="AI276" s="195" t="s">
        <v>5011</v>
      </c>
      <c r="AJ276" s="196">
        <v>50000</v>
      </c>
      <c r="AK276" s="195">
        <v>2</v>
      </c>
      <c r="AL276" s="195">
        <f t="shared" si="65"/>
        <v>106</v>
      </c>
      <c r="AM276" s="195">
        <f t="shared" si="66"/>
        <v>5300000</v>
      </c>
      <c r="AN276" s="195"/>
    </row>
    <row r="277" spans="17:40">
      <c r="Q277" s="99" t="s">
        <v>4685</v>
      </c>
      <c r="R277" s="95">
        <v>2145814</v>
      </c>
      <c r="T277" s="213" t="s">
        <v>5132</v>
      </c>
      <c r="U277" s="213">
        <v>2546</v>
      </c>
      <c r="V277" s="113">
        <v>393</v>
      </c>
      <c r="W277" s="113">
        <f t="shared" si="54"/>
        <v>1000578</v>
      </c>
      <c r="X277" s="36" t="s">
        <v>452</v>
      </c>
      <c r="AH277" s="20">
        <v>64</v>
      </c>
      <c r="AI277" s="20" t="s">
        <v>5020</v>
      </c>
      <c r="AJ277" s="117">
        <v>25000</v>
      </c>
      <c r="AK277" s="20">
        <v>0</v>
      </c>
      <c r="AL277" s="20">
        <f t="shared" si="65"/>
        <v>104</v>
      </c>
      <c r="AM277" s="20">
        <f t="shared" si="66"/>
        <v>2600000</v>
      </c>
      <c r="AN277" s="20"/>
    </row>
    <row r="278" spans="17:40">
      <c r="Q278" s="99" t="s">
        <v>4696</v>
      </c>
      <c r="R278" s="95">
        <v>4369730</v>
      </c>
      <c r="T278" s="213" t="s">
        <v>5133</v>
      </c>
      <c r="U278" s="213">
        <v>1034</v>
      </c>
      <c r="V278" s="113">
        <v>386.608</v>
      </c>
      <c r="W278" s="113">
        <f t="shared" si="54"/>
        <v>399752.67200000002</v>
      </c>
      <c r="X278" s="36" t="s">
        <v>452</v>
      </c>
      <c r="AH278" s="149">
        <v>65</v>
      </c>
      <c r="AI278" s="149" t="s">
        <v>5020</v>
      </c>
      <c r="AJ278" s="188">
        <v>35000</v>
      </c>
      <c r="AK278" s="149">
        <v>7</v>
      </c>
      <c r="AL278" s="149">
        <f t="shared" si="65"/>
        <v>104</v>
      </c>
      <c r="AM278" s="149">
        <f t="shared" si="66"/>
        <v>3640000</v>
      </c>
      <c r="AN278" s="149"/>
    </row>
    <row r="279" spans="17:40">
      <c r="Q279" s="99" t="s">
        <v>4698</v>
      </c>
      <c r="R279" s="95">
        <v>8739459</v>
      </c>
      <c r="T279" s="213" t="s">
        <v>5143</v>
      </c>
      <c r="U279" s="213">
        <v>300</v>
      </c>
      <c r="V279" s="113">
        <v>400</v>
      </c>
      <c r="W279" s="113">
        <f t="shared" si="54"/>
        <v>120000</v>
      </c>
      <c r="X279" s="36" t="s">
        <v>452</v>
      </c>
      <c r="AH279" s="149">
        <v>66</v>
      </c>
      <c r="AI279" s="149" t="s">
        <v>5031</v>
      </c>
      <c r="AJ279" s="188">
        <v>30000000</v>
      </c>
      <c r="AK279" s="149">
        <v>0</v>
      </c>
      <c r="AL279" s="149">
        <f t="shared" ref="AL279:AL298" si="67">AK279+AL280</f>
        <v>97</v>
      </c>
      <c r="AM279" s="149">
        <f t="shared" ref="AM279:AM298" si="68">AJ279*AL279</f>
        <v>2910000000</v>
      </c>
      <c r="AN279" s="149"/>
    </row>
    <row r="280" spans="17:40">
      <c r="Q280" s="99" t="s">
        <v>4707</v>
      </c>
      <c r="R280" s="95">
        <v>6667654</v>
      </c>
      <c r="T280" s="213" t="s">
        <v>5156</v>
      </c>
      <c r="U280" s="213">
        <v>782</v>
      </c>
      <c r="V280" s="113">
        <v>409</v>
      </c>
      <c r="W280" s="113">
        <f t="shared" si="54"/>
        <v>319838</v>
      </c>
      <c r="X280" s="36" t="s">
        <v>751</v>
      </c>
      <c r="AH280" s="20">
        <v>67</v>
      </c>
      <c r="AI280" s="20" t="s">
        <v>5031</v>
      </c>
      <c r="AJ280" s="117">
        <v>6800000</v>
      </c>
      <c r="AK280" s="20">
        <v>1</v>
      </c>
      <c r="AL280" s="20">
        <f t="shared" si="67"/>
        <v>97</v>
      </c>
      <c r="AM280" s="20">
        <f t="shared" si="68"/>
        <v>659600000</v>
      </c>
      <c r="AN280" s="20"/>
    </row>
    <row r="281" spans="17:40">
      <c r="Q281" s="99" t="s">
        <v>3683</v>
      </c>
      <c r="R281" s="95">
        <v>8981245</v>
      </c>
      <c r="T281" s="213" t="s">
        <v>5161</v>
      </c>
      <c r="U281" s="213">
        <v>1220</v>
      </c>
      <c r="V281" s="113">
        <v>409.9</v>
      </c>
      <c r="W281" s="113">
        <f t="shared" si="54"/>
        <v>500078</v>
      </c>
      <c r="X281" s="36" t="s">
        <v>751</v>
      </c>
      <c r="AH281" s="20">
        <v>68</v>
      </c>
      <c r="AI281" s="20" t="s">
        <v>5039</v>
      </c>
      <c r="AJ281" s="117">
        <v>500000</v>
      </c>
      <c r="AK281" s="20">
        <v>1</v>
      </c>
      <c r="AL281" s="20">
        <f t="shared" si="67"/>
        <v>96</v>
      </c>
      <c r="AM281" s="20">
        <f t="shared" si="68"/>
        <v>48000000</v>
      </c>
      <c r="AN281" s="20"/>
    </row>
    <row r="282" spans="17:40">
      <c r="Q282" s="99" t="s">
        <v>4720</v>
      </c>
      <c r="R282" s="95">
        <v>9181756</v>
      </c>
      <c r="T282" s="213" t="s">
        <v>5164</v>
      </c>
      <c r="U282" s="213">
        <v>1285</v>
      </c>
      <c r="V282" s="113">
        <v>388.84</v>
      </c>
      <c r="W282" s="113">
        <f t="shared" si="54"/>
        <v>499659.39999999997</v>
      </c>
      <c r="X282" s="36" t="s">
        <v>452</v>
      </c>
      <c r="AH282" s="20">
        <v>69</v>
      </c>
      <c r="AI282" s="20" t="s">
        <v>5047</v>
      </c>
      <c r="AJ282" s="117">
        <v>850000</v>
      </c>
      <c r="AK282" s="20">
        <v>5</v>
      </c>
      <c r="AL282" s="20">
        <f t="shared" si="67"/>
        <v>95</v>
      </c>
      <c r="AM282" s="20">
        <f t="shared" si="68"/>
        <v>80750000</v>
      </c>
      <c r="AN282" s="20"/>
    </row>
    <row r="283" spans="17:40">
      <c r="Q283" s="99" t="s">
        <v>4724</v>
      </c>
      <c r="R283" s="95">
        <v>11811208</v>
      </c>
      <c r="T283" s="213" t="s">
        <v>5149</v>
      </c>
      <c r="U283" s="213">
        <v>1924</v>
      </c>
      <c r="V283" s="113">
        <v>386.69600000000003</v>
      </c>
      <c r="W283" s="113">
        <f t="shared" si="54"/>
        <v>744003.10400000005</v>
      </c>
      <c r="X283" s="36" t="s">
        <v>452</v>
      </c>
      <c r="AH283" s="20">
        <v>70</v>
      </c>
      <c r="AI283" s="20" t="s">
        <v>5057</v>
      </c>
      <c r="AJ283" s="117">
        <v>1130250</v>
      </c>
      <c r="AK283" s="20">
        <v>0</v>
      </c>
      <c r="AL283" s="20">
        <f t="shared" si="67"/>
        <v>90</v>
      </c>
      <c r="AM283" s="20">
        <f t="shared" si="68"/>
        <v>101722500</v>
      </c>
      <c r="AN283" s="20"/>
    </row>
    <row r="284" spans="17:40">
      <c r="Q284" s="99" t="s">
        <v>4738</v>
      </c>
      <c r="R284" s="95">
        <v>41248054</v>
      </c>
      <c r="T284" s="213" t="s">
        <v>5180</v>
      </c>
      <c r="U284" s="213">
        <v>165</v>
      </c>
      <c r="V284" s="113">
        <v>393.5</v>
      </c>
      <c r="W284" s="113">
        <f t="shared" si="54"/>
        <v>64927.5</v>
      </c>
      <c r="X284" s="36" t="s">
        <v>452</v>
      </c>
      <c r="AH284" s="261">
        <v>71</v>
      </c>
      <c r="AI284" s="261" t="s">
        <v>5057</v>
      </c>
      <c r="AJ284" s="252">
        <v>30000</v>
      </c>
      <c r="AK284" s="261">
        <v>5</v>
      </c>
      <c r="AL284" s="261">
        <f t="shared" si="67"/>
        <v>90</v>
      </c>
      <c r="AM284" s="261">
        <f t="shared" si="68"/>
        <v>2700000</v>
      </c>
      <c r="AN284" s="261"/>
    </row>
    <row r="285" spans="17:40" ht="30">
      <c r="Q285" s="99" t="s">
        <v>4746</v>
      </c>
      <c r="R285" s="95">
        <v>37328780</v>
      </c>
      <c r="T285" s="213" t="s">
        <v>5188</v>
      </c>
      <c r="U285" s="213">
        <v>-34859</v>
      </c>
      <c r="V285" s="113">
        <v>403.1585</v>
      </c>
      <c r="W285" s="113">
        <f t="shared" si="54"/>
        <v>-14053702.1515</v>
      </c>
      <c r="X285" s="36" t="s">
        <v>5193</v>
      </c>
      <c r="AH285" s="20">
        <v>72</v>
      </c>
      <c r="AI285" s="20" t="s">
        <v>5073</v>
      </c>
      <c r="AJ285" s="117">
        <v>206000</v>
      </c>
      <c r="AK285" s="20">
        <v>0</v>
      </c>
      <c r="AL285" s="20">
        <f t="shared" si="67"/>
        <v>85</v>
      </c>
      <c r="AM285" s="20">
        <f t="shared" si="68"/>
        <v>17510000</v>
      </c>
      <c r="AN285" s="20"/>
    </row>
    <row r="286" spans="17:40">
      <c r="Q286" s="99" t="s">
        <v>4753</v>
      </c>
      <c r="R286" s="95">
        <v>50000000</v>
      </c>
      <c r="T286" s="213" t="s">
        <v>5150</v>
      </c>
      <c r="U286" s="213">
        <v>8476</v>
      </c>
      <c r="V286" s="113">
        <v>419.49900000000002</v>
      </c>
      <c r="W286" s="113">
        <f t="shared" si="54"/>
        <v>3555673.5240000002</v>
      </c>
      <c r="X286" s="36" t="s">
        <v>5203</v>
      </c>
      <c r="AH286" s="149">
        <v>73</v>
      </c>
      <c r="AI286" s="149" t="s">
        <v>5073</v>
      </c>
      <c r="AJ286" s="188">
        <v>206000</v>
      </c>
      <c r="AK286" s="149">
        <v>2</v>
      </c>
      <c r="AL286" s="149">
        <f t="shared" si="67"/>
        <v>85</v>
      </c>
      <c r="AM286" s="149">
        <f t="shared" si="68"/>
        <v>17510000</v>
      </c>
      <c r="AN286" s="149"/>
    </row>
    <row r="287" spans="17:40">
      <c r="Q287" s="99" t="s">
        <v>4817</v>
      </c>
      <c r="R287" s="95">
        <v>68656</v>
      </c>
      <c r="T287" s="213" t="s">
        <v>5224</v>
      </c>
      <c r="U287" s="213">
        <v>903</v>
      </c>
      <c r="V287" s="113">
        <v>442.77379999999999</v>
      </c>
      <c r="W287" s="113">
        <f t="shared" si="54"/>
        <v>399824.7414</v>
      </c>
      <c r="X287" s="36" t="s">
        <v>751</v>
      </c>
      <c r="AH287" s="20">
        <v>74</v>
      </c>
      <c r="AI287" s="20" t="s">
        <v>5080</v>
      </c>
      <c r="AJ287" s="117">
        <v>50000</v>
      </c>
      <c r="AK287" s="20">
        <v>0</v>
      </c>
      <c r="AL287" s="20">
        <f t="shared" si="67"/>
        <v>83</v>
      </c>
      <c r="AM287" s="20">
        <f t="shared" si="68"/>
        <v>4150000</v>
      </c>
      <c r="AN287" s="20"/>
    </row>
    <row r="288" spans="17:40">
      <c r="Q288" s="99" t="s">
        <v>4831</v>
      </c>
      <c r="R288" s="95">
        <v>4000236</v>
      </c>
      <c r="T288" s="213" t="s">
        <v>5230</v>
      </c>
      <c r="U288" s="213">
        <v>113</v>
      </c>
      <c r="V288" s="113">
        <v>442.48200000000003</v>
      </c>
      <c r="W288" s="113">
        <f>U288*V288</f>
        <v>50000.466</v>
      </c>
      <c r="X288" s="36" t="s">
        <v>751</v>
      </c>
      <c r="AH288" s="261">
        <v>75</v>
      </c>
      <c r="AI288" s="261" t="s">
        <v>5080</v>
      </c>
      <c r="AJ288" s="252">
        <v>50000</v>
      </c>
      <c r="AK288" s="261">
        <v>2</v>
      </c>
      <c r="AL288" s="261">
        <f t="shared" si="67"/>
        <v>83</v>
      </c>
      <c r="AM288" s="261">
        <f t="shared" si="68"/>
        <v>4150000</v>
      </c>
      <c r="AN288" s="261"/>
    </row>
    <row r="289" spans="16:44">
      <c r="Q289" s="99" t="s">
        <v>4831</v>
      </c>
      <c r="R289" s="95">
        <v>2250000</v>
      </c>
      <c r="T289" s="213" t="s">
        <v>5241</v>
      </c>
      <c r="U289" s="213">
        <v>671</v>
      </c>
      <c r="V289" s="113">
        <v>447</v>
      </c>
      <c r="W289" s="113">
        <f>U289*V289</f>
        <v>299937</v>
      </c>
      <c r="X289" s="36" t="s">
        <v>751</v>
      </c>
      <c r="AH289" s="20">
        <v>76</v>
      </c>
      <c r="AI289" s="20" t="s">
        <v>5087</v>
      </c>
      <c r="AJ289" s="117">
        <v>20000000</v>
      </c>
      <c r="AK289" s="20">
        <v>7</v>
      </c>
      <c r="AL289" s="20">
        <f t="shared" si="67"/>
        <v>81</v>
      </c>
      <c r="AM289" s="20">
        <f t="shared" si="68"/>
        <v>1620000000</v>
      </c>
      <c r="AN289" s="20" t="s">
        <v>5088</v>
      </c>
    </row>
    <row r="290" spans="16:44">
      <c r="Q290" s="99" t="s">
        <v>4836</v>
      </c>
      <c r="R290" s="95">
        <v>-2512200</v>
      </c>
      <c r="T290" s="213" t="s">
        <v>5243</v>
      </c>
      <c r="U290" s="213">
        <v>7</v>
      </c>
      <c r="V290" s="113">
        <v>465.31200000000001</v>
      </c>
      <c r="W290" s="113">
        <f>U290*V290</f>
        <v>3257.1840000000002</v>
      </c>
      <c r="X290" s="36" t="s">
        <v>452</v>
      </c>
      <c r="AH290" s="20">
        <v>77</v>
      </c>
      <c r="AI290" s="20" t="s">
        <v>5100</v>
      </c>
      <c r="AJ290" s="117">
        <v>50000</v>
      </c>
      <c r="AK290" s="20">
        <v>0</v>
      </c>
      <c r="AL290" s="20">
        <f t="shared" si="67"/>
        <v>74</v>
      </c>
      <c r="AM290" s="20">
        <f t="shared" si="68"/>
        <v>3700000</v>
      </c>
      <c r="AN290" s="20"/>
    </row>
    <row r="291" spans="16:44">
      <c r="Q291" s="99" t="s">
        <v>4845</v>
      </c>
      <c r="R291" s="95">
        <v>300000</v>
      </c>
      <c r="T291" s="213" t="s">
        <v>5260</v>
      </c>
      <c r="U291" s="213">
        <v>12950</v>
      </c>
      <c r="V291" s="113">
        <v>463.31599999999997</v>
      </c>
      <c r="W291" s="113">
        <f>U291*V291</f>
        <v>5999942.1999999993</v>
      </c>
      <c r="X291" s="36" t="s">
        <v>452</v>
      </c>
      <c r="AH291" s="149">
        <v>78</v>
      </c>
      <c r="AI291" s="149" t="s">
        <v>5100</v>
      </c>
      <c r="AJ291" s="188">
        <v>50000</v>
      </c>
      <c r="AK291" s="149">
        <v>7</v>
      </c>
      <c r="AL291" s="149">
        <f t="shared" si="67"/>
        <v>74</v>
      </c>
      <c r="AM291" s="149">
        <f t="shared" si="68"/>
        <v>3700000</v>
      </c>
      <c r="AN291" s="149"/>
    </row>
    <row r="292" spans="16:44">
      <c r="Q292" s="99" t="s">
        <v>980</v>
      </c>
      <c r="R292" s="95">
        <v>1100000</v>
      </c>
      <c r="T292" s="213" t="s">
        <v>5271</v>
      </c>
      <c r="U292" s="213">
        <v>37</v>
      </c>
      <c r="V292" s="113">
        <v>463.315</v>
      </c>
      <c r="W292" s="113">
        <f>U292*V292</f>
        <v>17142.654999999999</v>
      </c>
      <c r="X292" s="36" t="s">
        <v>452</v>
      </c>
      <c r="AH292" s="20">
        <v>79</v>
      </c>
      <c r="AI292" s="20" t="s">
        <v>5107</v>
      </c>
      <c r="AJ292" s="117">
        <v>2480000</v>
      </c>
      <c r="AK292" s="20">
        <v>0</v>
      </c>
      <c r="AL292" s="20">
        <f t="shared" si="67"/>
        <v>67</v>
      </c>
      <c r="AM292" s="20">
        <f t="shared" si="68"/>
        <v>166160000</v>
      </c>
      <c r="AN292" s="20"/>
    </row>
    <row r="293" spans="16:44">
      <c r="Q293" s="99" t="s">
        <v>4852</v>
      </c>
      <c r="R293" s="95">
        <v>890000</v>
      </c>
      <c r="T293" s="168"/>
      <c r="U293" s="168"/>
      <c r="V293" s="113"/>
      <c r="W293" s="113"/>
      <c r="X293" s="99"/>
      <c r="AH293" s="149">
        <v>80</v>
      </c>
      <c r="AI293" s="149" t="s">
        <v>5107</v>
      </c>
      <c r="AJ293" s="188">
        <v>2480000</v>
      </c>
      <c r="AK293" s="149">
        <v>12</v>
      </c>
      <c r="AL293" s="149">
        <f t="shared" si="67"/>
        <v>67</v>
      </c>
      <c r="AM293" s="149">
        <f t="shared" si="68"/>
        <v>166160000</v>
      </c>
      <c r="AN293" s="149"/>
    </row>
    <row r="294" spans="16:44">
      <c r="Q294" s="99" t="s">
        <v>4872</v>
      </c>
      <c r="R294" s="95">
        <v>1000000</v>
      </c>
      <c r="T294" s="168"/>
      <c r="U294" s="168">
        <f>SUM(U186:U293)</f>
        <v>3590851</v>
      </c>
      <c r="V294" s="99"/>
      <c r="W294" s="99"/>
      <c r="X294" s="99"/>
      <c r="AH294" s="20">
        <v>81</v>
      </c>
      <c r="AI294" s="20" t="s">
        <v>5116</v>
      </c>
      <c r="AJ294" s="117">
        <v>-24159500</v>
      </c>
      <c r="AK294" s="20">
        <v>4</v>
      </c>
      <c r="AL294" s="20">
        <f t="shared" si="67"/>
        <v>55</v>
      </c>
      <c r="AM294" s="20">
        <f t="shared" si="68"/>
        <v>-1328772500</v>
      </c>
      <c r="AN294" s="20" t="s">
        <v>5131</v>
      </c>
    </row>
    <row r="295" spans="16:44">
      <c r="Q295" s="99" t="s">
        <v>4873</v>
      </c>
      <c r="R295" s="95">
        <v>45436311</v>
      </c>
      <c r="T295" s="99"/>
      <c r="U295" s="99" t="s">
        <v>6</v>
      </c>
      <c r="V295" s="99"/>
      <c r="W295" s="99"/>
      <c r="X295" s="99"/>
      <c r="AH295" s="20">
        <v>82</v>
      </c>
      <c r="AI295" s="20" t="s">
        <v>5133</v>
      </c>
      <c r="AJ295" s="117">
        <v>400000</v>
      </c>
      <c r="AK295" s="20">
        <v>3</v>
      </c>
      <c r="AL295" s="20">
        <f t="shared" si="67"/>
        <v>51</v>
      </c>
      <c r="AM295" s="20">
        <f t="shared" si="68"/>
        <v>20400000</v>
      </c>
      <c r="AN295" s="20"/>
    </row>
    <row r="296" spans="16:44">
      <c r="Q296" s="99" t="s">
        <v>4873</v>
      </c>
      <c r="R296" s="95">
        <v>-3500000</v>
      </c>
      <c r="T296" s="200" t="s">
        <v>4481</v>
      </c>
      <c r="AH296" s="149">
        <v>83</v>
      </c>
      <c r="AI296" s="149" t="s">
        <v>5143</v>
      </c>
      <c r="AJ296" s="188">
        <v>40000</v>
      </c>
      <c r="AK296" s="149">
        <v>0</v>
      </c>
      <c r="AL296" s="149">
        <f t="shared" si="67"/>
        <v>48</v>
      </c>
      <c r="AM296" s="149">
        <f t="shared" si="68"/>
        <v>1920000</v>
      </c>
      <c r="AN296" s="149"/>
    </row>
    <row r="297" spans="16:44">
      <c r="Q297" s="99" t="s">
        <v>4887</v>
      </c>
      <c r="R297" s="95">
        <v>2520000</v>
      </c>
      <c r="T297" s="199">
        <f>R199/U294</f>
        <v>452.38033519073889</v>
      </c>
      <c r="AH297" s="20">
        <v>84</v>
      </c>
      <c r="AI297" s="20" t="s">
        <v>5143</v>
      </c>
      <c r="AJ297" s="117">
        <v>40000</v>
      </c>
      <c r="AK297" s="20">
        <v>5</v>
      </c>
      <c r="AL297" s="20">
        <f t="shared" si="67"/>
        <v>48</v>
      </c>
      <c r="AM297" s="20">
        <f t="shared" si="68"/>
        <v>1920000</v>
      </c>
      <c r="AN297" s="20"/>
    </row>
    <row r="298" spans="16:44">
      <c r="Q298" s="99" t="s">
        <v>4922</v>
      </c>
      <c r="R298" s="95">
        <v>4900000</v>
      </c>
      <c r="W298" s="114"/>
      <c r="AH298" s="20">
        <v>85</v>
      </c>
      <c r="AI298" s="20" t="s">
        <v>5156</v>
      </c>
      <c r="AJ298" s="117">
        <v>200000</v>
      </c>
      <c r="AK298" s="20">
        <v>1</v>
      </c>
      <c r="AL298" s="20">
        <f t="shared" si="67"/>
        <v>43</v>
      </c>
      <c r="AM298" s="20">
        <f t="shared" si="68"/>
        <v>8600000</v>
      </c>
      <c r="AN298" s="20"/>
    </row>
    <row r="299" spans="16:44">
      <c r="Q299" s="99" t="s">
        <v>4943</v>
      </c>
      <c r="R299" s="95">
        <v>1150000</v>
      </c>
      <c r="U299" s="96" t="s">
        <v>267</v>
      </c>
      <c r="V299" t="s">
        <v>4482</v>
      </c>
      <c r="X299" t="s">
        <v>25</v>
      </c>
      <c r="AH299" s="20">
        <v>86</v>
      </c>
      <c r="AI299" s="20" t="s">
        <v>5161</v>
      </c>
      <c r="AJ299" s="117">
        <v>500000</v>
      </c>
      <c r="AK299" s="20">
        <v>2</v>
      </c>
      <c r="AL299" s="20">
        <f t="shared" ref="AL299:AL323" si="69">AK299+AL300</f>
        <v>42</v>
      </c>
      <c r="AM299" s="20">
        <f t="shared" ref="AM299:AM323" si="70">AJ299*AL299</f>
        <v>21000000</v>
      </c>
      <c r="AN299" s="20"/>
    </row>
    <row r="300" spans="16:44">
      <c r="P300" t="s">
        <v>25</v>
      </c>
      <c r="Q300" s="99" t="s">
        <v>4894</v>
      </c>
      <c r="R300" s="95">
        <v>250000</v>
      </c>
      <c r="T300" s="114"/>
      <c r="U300" s="113">
        <v>17220</v>
      </c>
      <c r="V300">
        <f>U300/T297</f>
        <v>38.065315090983042</v>
      </c>
      <c r="X300" t="s">
        <v>25</v>
      </c>
      <c r="AH300" s="20">
        <v>87</v>
      </c>
      <c r="AI300" s="20" t="s">
        <v>5164</v>
      </c>
      <c r="AJ300" s="117">
        <v>500000</v>
      </c>
      <c r="AK300" s="20">
        <v>3</v>
      </c>
      <c r="AL300" s="20">
        <f t="shared" si="69"/>
        <v>40</v>
      </c>
      <c r="AM300" s="20">
        <f t="shared" si="70"/>
        <v>20000000</v>
      </c>
      <c r="AN300" s="20"/>
      <c r="AR300" t="s">
        <v>25</v>
      </c>
    </row>
    <row r="301" spans="16:44">
      <c r="Q301" s="99" t="s">
        <v>4984</v>
      </c>
      <c r="R301" s="95">
        <v>1403460</v>
      </c>
      <c r="X301" t="s">
        <v>25</v>
      </c>
      <c r="AH301" s="20">
        <v>88</v>
      </c>
      <c r="AI301" s="20" t="s">
        <v>5149</v>
      </c>
      <c r="AJ301" s="117">
        <v>250000</v>
      </c>
      <c r="AK301" s="20">
        <v>0</v>
      </c>
      <c r="AL301" s="20">
        <f t="shared" si="69"/>
        <v>37</v>
      </c>
      <c r="AM301" s="20">
        <f t="shared" si="70"/>
        <v>9250000</v>
      </c>
      <c r="AN301" s="20"/>
    </row>
    <row r="302" spans="16:44">
      <c r="Q302" s="99" t="s">
        <v>4989</v>
      </c>
      <c r="R302" s="95">
        <v>200000</v>
      </c>
      <c r="S302" s="114"/>
      <c r="W302" s="223"/>
      <c r="X302" s="96"/>
      <c r="AH302" s="261">
        <v>89</v>
      </c>
      <c r="AI302" s="261" t="s">
        <v>5149</v>
      </c>
      <c r="AJ302" s="252">
        <v>245000</v>
      </c>
      <c r="AK302" s="261">
        <v>16</v>
      </c>
      <c r="AL302" s="261">
        <f t="shared" si="69"/>
        <v>37</v>
      </c>
      <c r="AM302" s="261">
        <f t="shared" si="70"/>
        <v>9065000</v>
      </c>
      <c r="AN302" s="261"/>
    </row>
    <row r="303" spans="16:44">
      <c r="Q303" s="99" t="s">
        <v>4996</v>
      </c>
      <c r="R303" s="95">
        <v>345000</v>
      </c>
      <c r="X303" t="s">
        <v>25</v>
      </c>
      <c r="Y303" t="s">
        <v>25</v>
      </c>
      <c r="AH303" s="20">
        <v>90</v>
      </c>
      <c r="AI303" s="20" t="s">
        <v>5194</v>
      </c>
      <c r="AJ303" s="117">
        <v>312598</v>
      </c>
      <c r="AK303" s="20">
        <v>0</v>
      </c>
      <c r="AL303" s="20">
        <f t="shared" si="69"/>
        <v>21</v>
      </c>
      <c r="AM303" s="20">
        <f t="shared" si="70"/>
        <v>6564558</v>
      </c>
      <c r="AN303" s="20"/>
    </row>
    <row r="304" spans="16:44">
      <c r="Q304" s="99" t="s">
        <v>5002</v>
      </c>
      <c r="R304" s="95">
        <v>900000</v>
      </c>
      <c r="AH304" s="20">
        <v>91</v>
      </c>
      <c r="AI304" s="20" t="s">
        <v>5194</v>
      </c>
      <c r="AJ304" s="117">
        <v>780000</v>
      </c>
      <c r="AK304" s="20">
        <v>0</v>
      </c>
      <c r="AL304" s="20">
        <f t="shared" si="69"/>
        <v>21</v>
      </c>
      <c r="AM304" s="20">
        <f t="shared" si="70"/>
        <v>16380000</v>
      </c>
      <c r="AN304" s="20"/>
    </row>
    <row r="305" spans="17:40" ht="60">
      <c r="Q305" s="99" t="s">
        <v>5006</v>
      </c>
      <c r="R305" s="95">
        <v>372517</v>
      </c>
      <c r="T305" s="22" t="s">
        <v>4465</v>
      </c>
      <c r="V305" s="223"/>
      <c r="X305" t="s">
        <v>25</v>
      </c>
      <c r="AH305" s="195">
        <v>92</v>
      </c>
      <c r="AI305" s="195" t="s">
        <v>5194</v>
      </c>
      <c r="AJ305" s="196">
        <v>-300000</v>
      </c>
      <c r="AK305" s="195">
        <v>1</v>
      </c>
      <c r="AL305" s="195">
        <f t="shared" si="69"/>
        <v>21</v>
      </c>
      <c r="AM305" s="195">
        <f t="shared" si="70"/>
        <v>-6300000</v>
      </c>
      <c r="AN305" s="195"/>
    </row>
    <row r="306" spans="17:40" ht="45">
      <c r="Q306" s="99" t="s">
        <v>5017</v>
      </c>
      <c r="R306" s="95">
        <v>6489257</v>
      </c>
      <c r="T306" s="22" t="s">
        <v>4466</v>
      </c>
      <c r="AH306" s="20">
        <v>93</v>
      </c>
      <c r="AI306" s="20" t="s">
        <v>5150</v>
      </c>
      <c r="AJ306" s="117">
        <v>300000</v>
      </c>
      <c r="AK306" s="20">
        <v>0</v>
      </c>
      <c r="AL306" s="20">
        <f t="shared" si="69"/>
        <v>20</v>
      </c>
      <c r="AM306" s="20">
        <f t="shared" si="70"/>
        <v>6000000</v>
      </c>
      <c r="AN306" s="20"/>
    </row>
    <row r="307" spans="17:40">
      <c r="Q307" s="99" t="s">
        <v>5073</v>
      </c>
      <c r="R307" s="95">
        <v>618000</v>
      </c>
      <c r="AH307" s="20">
        <v>94</v>
      </c>
      <c r="AI307" s="20" t="s">
        <v>5150</v>
      </c>
      <c r="AJ307" s="117">
        <v>8660000</v>
      </c>
      <c r="AK307" s="20">
        <v>8</v>
      </c>
      <c r="AL307" s="20">
        <f t="shared" si="69"/>
        <v>20</v>
      </c>
      <c r="AM307" s="20">
        <f t="shared" si="70"/>
        <v>173200000</v>
      </c>
      <c r="AN307" s="20"/>
    </row>
    <row r="308" spans="17:40">
      <c r="Q308" s="99" t="s">
        <v>5087</v>
      </c>
      <c r="R308" s="95">
        <v>20105000</v>
      </c>
      <c r="AH308" s="149">
        <v>95</v>
      </c>
      <c r="AI308" s="149" t="s">
        <v>5224</v>
      </c>
      <c r="AJ308" s="188">
        <v>200000</v>
      </c>
      <c r="AK308" s="149">
        <v>3</v>
      </c>
      <c r="AL308" s="149">
        <f t="shared" si="69"/>
        <v>12</v>
      </c>
      <c r="AM308" s="149">
        <f t="shared" si="70"/>
        <v>2400000</v>
      </c>
      <c r="AN308" s="149"/>
    </row>
    <row r="309" spans="17:40">
      <c r="Q309" s="99" t="s">
        <v>5092</v>
      </c>
      <c r="R309" s="95">
        <v>-21079990</v>
      </c>
      <c r="T309" s="99" t="s">
        <v>4483</v>
      </c>
      <c r="U309" s="99" t="s">
        <v>4454</v>
      </c>
      <c r="V309" s="99" t="s">
        <v>952</v>
      </c>
      <c r="W309" s="74"/>
      <c r="AH309" s="149">
        <v>96</v>
      </c>
      <c r="AI309" s="149" t="s">
        <v>5230</v>
      </c>
      <c r="AJ309" s="188">
        <v>20000</v>
      </c>
      <c r="AK309" s="149">
        <v>1</v>
      </c>
      <c r="AL309" s="149">
        <f t="shared" si="69"/>
        <v>9</v>
      </c>
      <c r="AM309" s="149">
        <f t="shared" si="70"/>
        <v>180000</v>
      </c>
      <c r="AN309" s="149"/>
    </row>
    <row r="310" spans="17:40">
      <c r="Q310" s="99" t="s">
        <v>5093</v>
      </c>
      <c r="R310" s="95">
        <v>-5949277</v>
      </c>
      <c r="T310" s="95">
        <f>S220+R263+R327</f>
        <v>892320227</v>
      </c>
      <c r="U310" s="95">
        <f>R199</f>
        <v>1624430379</v>
      </c>
      <c r="V310" s="95">
        <f>U310-T310</f>
        <v>732110152</v>
      </c>
      <c r="AH310" s="20">
        <v>97</v>
      </c>
      <c r="AI310" s="20" t="s">
        <v>5241</v>
      </c>
      <c r="AJ310" s="117">
        <v>14340000</v>
      </c>
      <c r="AK310" s="20">
        <v>7</v>
      </c>
      <c r="AL310" s="20">
        <f t="shared" si="69"/>
        <v>8</v>
      </c>
      <c r="AM310" s="20">
        <f t="shared" si="70"/>
        <v>114720000</v>
      </c>
      <c r="AN310" s="20"/>
    </row>
    <row r="311" spans="17:40">
      <c r="Q311" s="99" t="s">
        <v>5100</v>
      </c>
      <c r="R311" s="95">
        <v>-15370656</v>
      </c>
      <c r="AH311" s="20">
        <v>98</v>
      </c>
      <c r="AI311" s="20" t="s">
        <v>5260</v>
      </c>
      <c r="AJ311" s="117">
        <v>10000000</v>
      </c>
      <c r="AK311" s="20">
        <v>1</v>
      </c>
      <c r="AL311" s="20">
        <f t="shared" si="69"/>
        <v>1</v>
      </c>
      <c r="AM311" s="20">
        <f t="shared" si="70"/>
        <v>10000000</v>
      </c>
      <c r="AN311" s="20" t="s">
        <v>4755</v>
      </c>
    </row>
    <row r="312" spans="17:40">
      <c r="Q312" s="99" t="s">
        <v>5107</v>
      </c>
      <c r="R312" s="95">
        <v>4960000</v>
      </c>
      <c r="AH312" s="20"/>
      <c r="AI312" s="20"/>
      <c r="AJ312" s="117"/>
      <c r="AK312" s="20"/>
      <c r="AL312" s="20">
        <f t="shared" si="69"/>
        <v>0</v>
      </c>
      <c r="AM312" s="20">
        <f t="shared" si="70"/>
        <v>0</v>
      </c>
      <c r="AN312" s="20"/>
    </row>
    <row r="313" spans="17:40">
      <c r="Q313" s="99" t="s">
        <v>5107</v>
      </c>
      <c r="R313" s="95">
        <v>10000000</v>
      </c>
      <c r="AH313" s="20"/>
      <c r="AI313" s="20"/>
      <c r="AJ313" s="117"/>
      <c r="AK313" s="20"/>
      <c r="AL313" s="20">
        <f t="shared" si="69"/>
        <v>0</v>
      </c>
      <c r="AM313" s="20">
        <f t="shared" si="70"/>
        <v>0</v>
      </c>
      <c r="AN313" s="20"/>
    </row>
    <row r="314" spans="17:40">
      <c r="Q314" s="99" t="s">
        <v>5116</v>
      </c>
      <c r="R314" s="95">
        <v>-40570100</v>
      </c>
      <c r="AH314" s="20"/>
      <c r="AI314" s="20"/>
      <c r="AJ314" s="117"/>
      <c r="AK314" s="20"/>
      <c r="AL314" s="20">
        <f t="shared" si="69"/>
        <v>0</v>
      </c>
      <c r="AM314" s="20">
        <f t="shared" si="70"/>
        <v>0</v>
      </c>
      <c r="AN314" s="20"/>
    </row>
    <row r="315" spans="17:40">
      <c r="Q315" s="99" t="s">
        <v>5132</v>
      </c>
      <c r="R315" s="95">
        <v>1000000</v>
      </c>
      <c r="T315" t="s">
        <v>25</v>
      </c>
      <c r="AH315" s="20"/>
      <c r="AI315" s="20"/>
      <c r="AJ315" s="117"/>
      <c r="AK315" s="20"/>
      <c r="AL315" s="20">
        <f t="shared" si="69"/>
        <v>0</v>
      </c>
      <c r="AM315" s="20">
        <f t="shared" si="70"/>
        <v>0</v>
      </c>
      <c r="AN315" s="20"/>
    </row>
    <row r="316" spans="17:40">
      <c r="Q316" s="99" t="s">
        <v>5133</v>
      </c>
      <c r="R316" s="95">
        <v>400000</v>
      </c>
      <c r="T316" t="s">
        <v>25</v>
      </c>
      <c r="AH316" s="20"/>
      <c r="AI316" s="20"/>
      <c r="AJ316" s="117"/>
      <c r="AK316" s="20"/>
      <c r="AL316" s="20">
        <f t="shared" si="69"/>
        <v>0</v>
      </c>
      <c r="AM316" s="20">
        <f t="shared" si="70"/>
        <v>0</v>
      </c>
      <c r="AN316" s="20"/>
    </row>
    <row r="317" spans="17:40">
      <c r="Q317" s="99" t="s">
        <v>5143</v>
      </c>
      <c r="R317" s="95">
        <v>120000</v>
      </c>
      <c r="AH317" s="20"/>
      <c r="AI317" s="20"/>
      <c r="AJ317" s="117"/>
      <c r="AK317" s="20"/>
      <c r="AL317" s="20">
        <f t="shared" si="69"/>
        <v>0</v>
      </c>
      <c r="AM317" s="20">
        <f t="shared" si="70"/>
        <v>0</v>
      </c>
      <c r="AN317" s="20"/>
    </row>
    <row r="318" spans="17:40">
      <c r="Q318" s="99" t="s">
        <v>5164</v>
      </c>
      <c r="R318" s="95">
        <v>500000</v>
      </c>
      <c r="T318" t="s">
        <v>25</v>
      </c>
      <c r="AH318" s="20"/>
      <c r="AI318" s="20"/>
      <c r="AJ318" s="117"/>
      <c r="AK318" s="20"/>
      <c r="AL318" s="20">
        <f t="shared" si="69"/>
        <v>0</v>
      </c>
      <c r="AM318" s="20">
        <f t="shared" si="70"/>
        <v>0</v>
      </c>
      <c r="AN318" s="20"/>
    </row>
    <row r="319" spans="17:40">
      <c r="Q319" s="99" t="s">
        <v>5149</v>
      </c>
      <c r="R319" s="95">
        <v>744000</v>
      </c>
      <c r="T319" t="s">
        <v>25</v>
      </c>
      <c r="AH319" s="20"/>
      <c r="AI319" s="20"/>
      <c r="AJ319" s="117"/>
      <c r="AK319" s="20"/>
      <c r="AL319" s="20">
        <f t="shared" si="69"/>
        <v>0</v>
      </c>
      <c r="AM319" s="20">
        <f t="shared" si="70"/>
        <v>0</v>
      </c>
      <c r="AN319" s="20"/>
    </row>
    <row r="320" spans="17:40">
      <c r="Q320" s="99" t="s">
        <v>5180</v>
      </c>
      <c r="R320" s="95">
        <v>65000</v>
      </c>
      <c r="AH320" s="20"/>
      <c r="AI320" s="20"/>
      <c r="AJ320" s="117"/>
      <c r="AK320" s="20"/>
      <c r="AL320" s="20">
        <f t="shared" si="69"/>
        <v>0</v>
      </c>
      <c r="AM320" s="20">
        <f t="shared" si="70"/>
        <v>0</v>
      </c>
      <c r="AN320" s="20"/>
    </row>
    <row r="321" spans="17:40">
      <c r="Q321" s="99" t="s">
        <v>5188</v>
      </c>
      <c r="R321" s="95">
        <v>-14053702</v>
      </c>
      <c r="AH321" s="20"/>
      <c r="AI321" s="20"/>
      <c r="AJ321" s="117"/>
      <c r="AK321" s="20"/>
      <c r="AL321" s="20">
        <f t="shared" si="69"/>
        <v>0</v>
      </c>
      <c r="AM321" s="20">
        <f t="shared" si="70"/>
        <v>0</v>
      </c>
      <c r="AN321" s="20"/>
    </row>
    <row r="322" spans="17:40">
      <c r="Q322" s="99" t="s">
        <v>5150</v>
      </c>
      <c r="R322" s="95">
        <v>3555678</v>
      </c>
      <c r="T322" t="s">
        <v>25</v>
      </c>
      <c r="AH322" s="99"/>
      <c r="AI322" s="99"/>
      <c r="AJ322" s="117"/>
      <c r="AK322" s="99"/>
      <c r="AL322" s="20">
        <f t="shared" si="69"/>
        <v>0</v>
      </c>
      <c r="AM322" s="20">
        <f t="shared" si="70"/>
        <v>0</v>
      </c>
      <c r="AN322" s="20"/>
    </row>
    <row r="323" spans="17:40">
      <c r="Q323" s="99" t="s">
        <v>5243</v>
      </c>
      <c r="R323" s="95">
        <v>3495</v>
      </c>
      <c r="T323" t="s">
        <v>25</v>
      </c>
      <c r="AH323" s="99"/>
      <c r="AI323" s="99"/>
      <c r="AJ323" s="117"/>
      <c r="AK323" s="99"/>
      <c r="AL323" s="20">
        <f t="shared" si="69"/>
        <v>0</v>
      </c>
      <c r="AM323" s="20">
        <f t="shared" si="70"/>
        <v>0</v>
      </c>
      <c r="AN323" s="99"/>
    </row>
    <row r="324" spans="17:40">
      <c r="Q324" s="99" t="s">
        <v>5260</v>
      </c>
      <c r="R324" s="95">
        <v>6000000</v>
      </c>
      <c r="W324" s="96" t="s">
        <v>25</v>
      </c>
      <c r="AH324" s="99"/>
      <c r="AI324" s="99"/>
      <c r="AJ324" s="95">
        <f>SUM(AJ214:AJ323)</f>
        <v>435489946</v>
      </c>
      <c r="AK324" s="99"/>
      <c r="AL324" s="99"/>
      <c r="AM324" s="99">
        <f>SUM(AM214:AM323)</f>
        <v>76894138095</v>
      </c>
      <c r="AN324" s="95">
        <f>AM324*AN200/31</f>
        <v>41341761.278366618</v>
      </c>
    </row>
    <row r="325" spans="17:40">
      <c r="Q325" s="99" t="s">
        <v>5271</v>
      </c>
      <c r="R325" s="95">
        <v>17220</v>
      </c>
      <c r="T325" t="s">
        <v>25</v>
      </c>
      <c r="AJ325" t="s">
        <v>4058</v>
      </c>
      <c r="AM325" t="s">
        <v>284</v>
      </c>
      <c r="AN325" t="s">
        <v>942</v>
      </c>
    </row>
    <row r="326" spans="17:40">
      <c r="Q326" s="99"/>
      <c r="R326" s="95"/>
      <c r="T326" t="s">
        <v>25</v>
      </c>
    </row>
    <row r="327" spans="17:40">
      <c r="Q327" s="99"/>
      <c r="R327" s="95">
        <f>SUM(R268:R326)</f>
        <v>382737847</v>
      </c>
      <c r="AI327" t="s">
        <v>4060</v>
      </c>
      <c r="AJ327" s="114">
        <f>AJ324+AN324</f>
        <v>476831707.27836663</v>
      </c>
    </row>
    <row r="328" spans="17:40">
      <c r="Q328" s="99"/>
      <c r="R328" s="99" t="s">
        <v>6</v>
      </c>
      <c r="T328" t="s">
        <v>25</v>
      </c>
      <c r="AI328" t="s">
        <v>4063</v>
      </c>
      <c r="AJ328" s="114">
        <f>SUM(N20:N34)</f>
        <v>686641412</v>
      </c>
    </row>
    <row r="329" spans="17:40">
      <c r="T329" t="s">
        <v>25</v>
      </c>
      <c r="AI329" t="s">
        <v>4135</v>
      </c>
      <c r="AJ329" s="114">
        <f>AJ328-AJ324</f>
        <v>251151466</v>
      </c>
    </row>
    <row r="330" spans="17:40">
      <c r="T330" t="s">
        <v>25</v>
      </c>
      <c r="AI330" t="s">
        <v>942</v>
      </c>
      <c r="AJ330" s="114">
        <f>AN324</f>
        <v>41341761.278366618</v>
      </c>
    </row>
    <row r="331" spans="17:40">
      <c r="T331" t="s">
        <v>25</v>
      </c>
      <c r="AI331" t="s">
        <v>4064</v>
      </c>
      <c r="AJ331" s="114">
        <f>AJ329-AJ330</f>
        <v>209809704.72163337</v>
      </c>
      <c r="AM331" t="s">
        <v>25</v>
      </c>
      <c r="AN331" t="s">
        <v>25</v>
      </c>
    </row>
    <row r="332" spans="17:40">
      <c r="T332" t="s">
        <v>25</v>
      </c>
      <c r="AN332" t="s">
        <v>25</v>
      </c>
    </row>
    <row r="334" spans="17:40">
      <c r="T334" t="s">
        <v>25</v>
      </c>
    </row>
    <row r="335" spans="17:40">
      <c r="AN335" t="s">
        <v>25</v>
      </c>
    </row>
    <row r="336" spans="17:40">
      <c r="R336" t="s">
        <v>25</v>
      </c>
      <c r="AN336" t="s">
        <v>25</v>
      </c>
    </row>
    <row r="337" spans="21:21">
      <c r="U33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K169" zoomScale="90" zoomScaleNormal="90" workbookViewId="0">
      <selection activeCell="Q193" sqref="Q19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5271</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5273</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c r="B75" s="95"/>
      <c r="C75" s="95"/>
      <c r="D75" s="95"/>
      <c r="E75" s="95"/>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3" t="s">
        <v>5273</v>
      </c>
      <c r="Y88" s="93">
        <v>371</v>
      </c>
      <c r="Z88" s="93">
        <v>7620</v>
      </c>
      <c r="AA88" s="93">
        <v>2868</v>
      </c>
      <c r="AB88" s="93">
        <f t="shared" si="22"/>
        <v>2.6569037656903767</v>
      </c>
      <c r="AC88" s="93">
        <f t="shared" si="23"/>
        <v>0.84852518799182441</v>
      </c>
      <c r="AD88" s="93"/>
      <c r="AE88" s="93">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20"/>
      <c r="AC89" s="20"/>
      <c r="AD89" s="99"/>
      <c r="AE89" s="99"/>
    </row>
    <row r="90" spans="1: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20"/>
      <c r="AC90" s="20"/>
      <c r="AD90" s="99"/>
      <c r="AE90" s="99"/>
    </row>
    <row r="91" spans="1: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c r="AA91" s="99"/>
      <c r="AB91" s="20"/>
      <c r="AC91" s="20"/>
      <c r="AD91" s="99"/>
      <c r="AE91" s="99"/>
    </row>
    <row r="92" spans="1: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9"/>
      <c r="Y92" s="99"/>
      <c r="Z92" s="99"/>
      <c r="AA92" s="99"/>
      <c r="AB92" s="99"/>
      <c r="AC92" s="99"/>
      <c r="AD92" s="99"/>
      <c r="AE92" s="99"/>
    </row>
    <row r="93" spans="1:31">
      <c r="I93" s="213"/>
      <c r="J93" s="113">
        <f t="shared" si="25"/>
        <v>2886862</v>
      </c>
      <c r="K93" s="213" t="s">
        <v>4883</v>
      </c>
      <c r="L93" s="84">
        <v>688000000</v>
      </c>
      <c r="M93" s="84">
        <v>312500000</v>
      </c>
      <c r="N93" s="113">
        <f t="shared" si="27"/>
        <v>1000500000</v>
      </c>
      <c r="O93" s="113">
        <f t="shared" si="28"/>
        <v>756067</v>
      </c>
      <c r="P93" s="113">
        <f t="shared" si="29"/>
        <v>3642929</v>
      </c>
      <c r="Q93" s="84">
        <v>0</v>
      </c>
      <c r="X93" s="99"/>
      <c r="Y93" s="99"/>
      <c r="Z93" s="99"/>
      <c r="AA93" s="99"/>
      <c r="AB93" s="99"/>
      <c r="AC93" s="99"/>
      <c r="AD93" s="99"/>
      <c r="AE93" s="99"/>
    </row>
    <row r="94" spans="1:31">
      <c r="I94" s="213"/>
      <c r="J94" s="113">
        <f t="shared" si="25"/>
        <v>10450869</v>
      </c>
      <c r="K94" s="213" t="s">
        <v>4884</v>
      </c>
      <c r="L94" s="84">
        <v>698450869</v>
      </c>
      <c r="M94" s="84">
        <v>316326929</v>
      </c>
      <c r="N94" s="113">
        <f t="shared" si="27"/>
        <v>1014777798</v>
      </c>
      <c r="O94" s="113">
        <f t="shared" si="28"/>
        <v>3826929</v>
      </c>
      <c r="P94" s="113">
        <f t="shared" si="29"/>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c r="AC95" s="96"/>
      <c r="AD95" s="96"/>
    </row>
    <row r="96" spans="1:31">
      <c r="I96" s="213"/>
      <c r="J96" s="113">
        <f t="shared" si="25"/>
        <v>3959605</v>
      </c>
      <c r="K96" s="213" t="s">
        <v>4892</v>
      </c>
      <c r="L96" s="84">
        <v>704655817</v>
      </c>
      <c r="M96" s="84">
        <v>315439070</v>
      </c>
      <c r="N96" s="113">
        <f t="shared" si="27"/>
        <v>1020094887</v>
      </c>
      <c r="O96" s="113">
        <f t="shared" si="28"/>
        <v>1161552</v>
      </c>
      <c r="P96" s="113">
        <f t="shared" si="29"/>
        <v>5121157</v>
      </c>
      <c r="Q96" s="84">
        <v>0</v>
      </c>
      <c r="AA96" s="96"/>
      <c r="AB96" s="96">
        <f>AB88/AB87</f>
        <v>0.98988681965586001</v>
      </c>
      <c r="AC96" s="96" t="s">
        <v>25</v>
      </c>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A97" s="96"/>
      <c r="AB97" s="276">
        <f>AB80/AB87</f>
        <v>1.1427370422892427</v>
      </c>
      <c r="AC97" s="96"/>
      <c r="AD97" s="96" t="s">
        <v>25</v>
      </c>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X98" s="96"/>
      <c r="Y98" s="96"/>
      <c r="Z98" s="96"/>
      <c r="AA98" s="96"/>
      <c r="AB98" s="96">
        <f>AB80/AB88</f>
        <v>1.1544118171878699</v>
      </c>
      <c r="AC98" s="96"/>
      <c r="AD98" s="96"/>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AB99" s="96">
        <f>AB97/AB98</f>
        <v>0.98988681965586012</v>
      </c>
      <c r="AC99" s="96"/>
      <c r="AD99" s="96" t="s">
        <v>25</v>
      </c>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AB100" s="96"/>
      <c r="AC100" s="96"/>
      <c r="AD100" s="96"/>
    </row>
    <row r="101" spans="9:32">
      <c r="I101" s="213"/>
      <c r="J101" s="113">
        <f t="shared" si="25"/>
        <v>287745</v>
      </c>
      <c r="K101" s="213" t="s">
        <v>4899</v>
      </c>
      <c r="L101" s="84">
        <v>721866591</v>
      </c>
      <c r="M101" s="84">
        <v>321203407</v>
      </c>
      <c r="N101" s="113">
        <f t="shared" si="30"/>
        <v>1043069998</v>
      </c>
      <c r="O101" s="113">
        <f t="shared" si="31"/>
        <v>-1059658</v>
      </c>
      <c r="P101" s="113">
        <f t="shared" si="32"/>
        <v>-771913</v>
      </c>
      <c r="Q101" s="84">
        <v>0</v>
      </c>
      <c r="AE101" t="s">
        <v>25</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c r="X102" s="96"/>
      <c r="Y102" s="96"/>
      <c r="Z102" s="96" t="s">
        <v>4642</v>
      </c>
      <c r="AA102" s="96"/>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c r="X104" s="22" t="s">
        <v>4646</v>
      </c>
      <c r="Y104" s="22" t="s">
        <v>4645</v>
      </c>
      <c r="Z104" s="22" t="s">
        <v>4644</v>
      </c>
      <c r="AA104" s="22" t="s">
        <v>4647</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5098</v>
      </c>
      <c r="J144" s="266">
        <f>L144-L143+5949277</f>
        <v>6616903</v>
      </c>
      <c r="K144" s="265" t="s">
        <v>5093</v>
      </c>
      <c r="L144" s="267">
        <v>792768860</v>
      </c>
      <c r="M144" s="267">
        <v>507955566</v>
      </c>
      <c r="N144" s="249">
        <f t="shared" si="36"/>
        <v>1300724426</v>
      </c>
      <c r="O144" s="266">
        <f t="shared" si="34"/>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5103</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5104</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5105</v>
      </c>
      <c r="L149" s="84">
        <v>740819252</v>
      </c>
      <c r="M149" s="84">
        <v>470305993</v>
      </c>
      <c r="N149" s="113">
        <f t="shared" si="37"/>
        <v>1211125245</v>
      </c>
      <c r="O149" s="113">
        <f t="shared" si="39"/>
        <v>-1758760</v>
      </c>
      <c r="P149" s="113">
        <f t="shared" si="40"/>
        <v>-3863586</v>
      </c>
      <c r="Q149" s="229">
        <v>0</v>
      </c>
      <c r="V149" t="s">
        <v>25</v>
      </c>
    </row>
    <row r="150" spans="9:23">
      <c r="I150" s="189" t="s">
        <v>5108</v>
      </c>
      <c r="J150" s="188">
        <f t="shared" si="38"/>
        <v>19640187</v>
      </c>
      <c r="K150" s="189" t="s">
        <v>5107</v>
      </c>
      <c r="L150" s="239">
        <v>760459439</v>
      </c>
      <c r="M150" s="239">
        <v>480341526</v>
      </c>
      <c r="N150" s="188">
        <f t="shared" si="37"/>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5114</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5117</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5121</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5115</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5125</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5126</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5116</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5141</v>
      </c>
      <c r="J160" s="188">
        <f>L160-L159-1000000</f>
        <v>-11757327</v>
      </c>
      <c r="K160" s="189" t="s">
        <v>5140</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5142</v>
      </c>
      <c r="L161" s="84">
        <v>809787758</v>
      </c>
      <c r="M161" s="84">
        <v>508573621</v>
      </c>
      <c r="N161" s="113">
        <f t="shared" si="37"/>
        <v>1318361379</v>
      </c>
      <c r="O161" s="113">
        <f t="shared" si="41"/>
        <v>8266116</v>
      </c>
      <c r="P161" s="113">
        <f t="shared" si="42"/>
        <v>23567917</v>
      </c>
    </row>
    <row r="162" spans="9:18">
      <c r="I162" s="251" t="s">
        <v>5145</v>
      </c>
      <c r="J162" s="252">
        <f>L162-L161-40000</f>
        <v>22492792</v>
      </c>
      <c r="K162" s="251" t="s">
        <v>5143</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5147</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5154</v>
      </c>
      <c r="L164" s="84">
        <v>839851298</v>
      </c>
      <c r="M164" s="84">
        <v>524867809</v>
      </c>
      <c r="N164" s="113">
        <f t="shared" si="37"/>
        <v>1364719107</v>
      </c>
      <c r="O164" s="113">
        <f t="shared" si="41"/>
        <v>-5011363</v>
      </c>
      <c r="P164" s="113">
        <f t="shared" si="42"/>
        <v>-14640971</v>
      </c>
      <c r="Q164" s="229">
        <v>0</v>
      </c>
    </row>
    <row r="165" spans="9:18">
      <c r="I165" s="251" t="s">
        <v>5158</v>
      </c>
      <c r="J165" s="252">
        <f>L165-L164-120000</f>
        <v>-2216696</v>
      </c>
      <c r="K165" s="251" t="s">
        <v>5156</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5161</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5164</v>
      </c>
      <c r="L167" s="253">
        <v>809456290</v>
      </c>
      <c r="M167" s="253">
        <v>509313372</v>
      </c>
      <c r="N167" s="252">
        <f t="shared" si="37"/>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5166</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5169</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5177</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5178</v>
      </c>
      <c r="L173" s="84">
        <v>802082154</v>
      </c>
      <c r="M173" s="84">
        <v>508611485</v>
      </c>
      <c r="N173" s="113">
        <f t="shared" si="37"/>
        <v>1310693639</v>
      </c>
      <c r="O173" s="113">
        <f t="shared" si="41"/>
        <v>-117320</v>
      </c>
      <c r="P173" s="113">
        <f t="shared" si="42"/>
        <v>-4323075</v>
      </c>
      <c r="Q173" s="229">
        <v>0</v>
      </c>
      <c r="R173" t="s">
        <v>25</v>
      </c>
    </row>
    <row r="174" spans="9:18">
      <c r="I174" s="251" t="s">
        <v>5181</v>
      </c>
      <c r="J174" s="252">
        <f>L174-L173-65000</f>
        <v>5888390</v>
      </c>
      <c r="K174" s="251" t="s">
        <v>5180</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5190</v>
      </c>
      <c r="J176" s="249">
        <f>L176-L175+305807</f>
        <v>8668560</v>
      </c>
      <c r="K176" s="216" t="s">
        <v>5187</v>
      </c>
      <c r="L176" s="250">
        <v>816745622</v>
      </c>
      <c r="M176" s="250">
        <v>516127148</v>
      </c>
      <c r="N176" s="249">
        <f t="shared" si="37"/>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37"/>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5150</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5204</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5208</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5212</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5220</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5222</v>
      </c>
      <c r="L184" s="84">
        <v>904707054</v>
      </c>
      <c r="M184" s="84">
        <v>557394961</v>
      </c>
      <c r="N184" s="113">
        <f t="shared" si="37"/>
        <v>1462102015</v>
      </c>
      <c r="O184" s="113">
        <f t="shared" si="41"/>
        <v>-6711498</v>
      </c>
      <c r="P184" s="113">
        <f t="shared" si="42"/>
        <v>-18369320</v>
      </c>
      <c r="Q184" s="229">
        <v>0</v>
      </c>
    </row>
    <row r="185" spans="9:17">
      <c r="I185" s="189" t="s">
        <v>5229</v>
      </c>
      <c r="J185" s="188">
        <f>L185-L184-200000</f>
        <v>15983884</v>
      </c>
      <c r="K185" s="189" t="s">
        <v>5224</v>
      </c>
      <c r="L185" s="239">
        <v>920890938</v>
      </c>
      <c r="M185" s="239">
        <v>566042468</v>
      </c>
      <c r="N185" s="188">
        <f t="shared" si="37"/>
        <v>1486933406</v>
      </c>
      <c r="O185" s="188">
        <f t="shared" si="41"/>
        <v>8647507</v>
      </c>
      <c r="P185" s="188">
        <f>N185-N184-200000</f>
        <v>24631391</v>
      </c>
      <c r="Q185" s="229">
        <v>200000</v>
      </c>
    </row>
    <row r="186" spans="9:17">
      <c r="I186" s="189" t="s">
        <v>5237</v>
      </c>
      <c r="J186" s="188">
        <f>L186-L185-30000</f>
        <v>1392982</v>
      </c>
      <c r="K186" s="189" t="s">
        <v>5230</v>
      </c>
      <c r="L186" s="239">
        <v>922313920</v>
      </c>
      <c r="M186" s="239">
        <v>567221668</v>
      </c>
      <c r="N186" s="188">
        <f t="shared" si="37"/>
        <v>1489535588</v>
      </c>
      <c r="O186" s="188">
        <f t="shared" si="41"/>
        <v>1179200</v>
      </c>
      <c r="P186" s="188">
        <f>N186-N185-30000</f>
        <v>2572182</v>
      </c>
      <c r="Q186" s="229">
        <v>30000</v>
      </c>
    </row>
    <row r="187" spans="9:17">
      <c r="I187" s="213" t="s">
        <v>5242</v>
      </c>
      <c r="J187" s="113">
        <f t="shared" si="38"/>
        <v>-1865454</v>
      </c>
      <c r="K187" s="213" t="s">
        <v>5241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5243</v>
      </c>
      <c r="L188" s="84">
        <v>932970745</v>
      </c>
      <c r="M188" s="84">
        <v>587671418</v>
      </c>
      <c r="N188" s="117">
        <f t="shared" si="37"/>
        <v>1520642163</v>
      </c>
      <c r="O188" s="113">
        <f t="shared" si="41"/>
        <v>6073278</v>
      </c>
      <c r="P188" s="113">
        <f t="shared" si="42"/>
        <v>18595557</v>
      </c>
      <c r="Q188" s="229">
        <v>0</v>
      </c>
    </row>
    <row r="189" spans="9:17">
      <c r="I189" s="213"/>
      <c r="J189" s="113">
        <f t="shared" si="38"/>
        <v>18096784</v>
      </c>
      <c r="K189" s="213" t="s">
        <v>5168</v>
      </c>
      <c r="L189" s="84">
        <v>951067529</v>
      </c>
      <c r="M189" s="84">
        <v>596275041</v>
      </c>
      <c r="N189" s="117">
        <f t="shared" si="37"/>
        <v>1547342570</v>
      </c>
      <c r="O189" s="113">
        <f t="shared" si="41"/>
        <v>8603623</v>
      </c>
      <c r="P189" s="113">
        <f t="shared" si="42"/>
        <v>26700407</v>
      </c>
      <c r="Q189" s="229">
        <v>0</v>
      </c>
    </row>
    <row r="190" spans="9:17" ht="30">
      <c r="I190" s="271" t="s">
        <v>5263</v>
      </c>
      <c r="J190" s="188">
        <f>L190-L189+4000000</f>
        <v>-1393565</v>
      </c>
      <c r="K190" s="189" t="s">
        <v>5260</v>
      </c>
      <c r="L190" s="239">
        <v>945673964</v>
      </c>
      <c r="M190" s="239">
        <v>604047583</v>
      </c>
      <c r="N190" s="188">
        <f t="shared" si="37"/>
        <v>1549721547</v>
      </c>
      <c r="O190" s="188">
        <f>M190-M189-10000000</f>
        <v>-2227458</v>
      </c>
      <c r="P190" s="188">
        <f>N190-N189-6000000</f>
        <v>-3621023</v>
      </c>
      <c r="Q190" s="229">
        <v>6000000</v>
      </c>
    </row>
    <row r="191" spans="9:17">
      <c r="I191" s="213"/>
      <c r="J191" s="113">
        <f t="shared" si="38"/>
        <v>3150981</v>
      </c>
      <c r="K191" s="213" t="s">
        <v>5271</v>
      </c>
      <c r="L191" s="84">
        <v>948824945</v>
      </c>
      <c r="M191" s="84">
        <v>605597895</v>
      </c>
      <c r="N191" s="35">
        <f t="shared" si="37"/>
        <v>1554422840</v>
      </c>
      <c r="O191" s="113">
        <f t="shared" si="41"/>
        <v>1550312</v>
      </c>
      <c r="P191" s="113">
        <f t="shared" si="42"/>
        <v>4701293</v>
      </c>
      <c r="Q191" s="229">
        <v>0</v>
      </c>
    </row>
    <row r="192" spans="9:17">
      <c r="I192" s="213"/>
      <c r="J192" s="113">
        <f t="shared" si="38"/>
        <v>-10638388</v>
      </c>
      <c r="K192" s="213" t="s">
        <v>5273</v>
      </c>
      <c r="L192" s="84">
        <v>938186557</v>
      </c>
      <c r="M192" s="84">
        <v>598751030</v>
      </c>
      <c r="N192" s="113">
        <f t="shared" si="37"/>
        <v>1536937587</v>
      </c>
      <c r="O192" s="113">
        <f t="shared" si="41"/>
        <v>-6846865</v>
      </c>
      <c r="P192" s="113">
        <f t="shared" si="42"/>
        <v>-17485253</v>
      </c>
      <c r="Q192" s="229">
        <v>0</v>
      </c>
    </row>
    <row r="193" spans="9:17">
      <c r="I193" s="213"/>
      <c r="J193" s="113">
        <f t="shared" si="38"/>
        <v>-938186557</v>
      </c>
      <c r="K193" s="213"/>
      <c r="L193" s="84"/>
      <c r="M193" s="84"/>
      <c r="N193" s="113">
        <f t="shared" si="37"/>
        <v>0</v>
      </c>
      <c r="O193" s="113">
        <f t="shared" si="41"/>
        <v>-598751030</v>
      </c>
      <c r="P193" s="113">
        <f t="shared" si="42"/>
        <v>-1536937587</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3" sqref="A3"/>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2019-09-17T08:47:13Z</dcterms:modified>
</cp:coreProperties>
</file>