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6" activeTab="7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F312" i="15" s="1"/>
  <c r="D313" i="15"/>
  <c r="E313" i="15"/>
  <c r="F313" i="15"/>
  <c r="E281" i="15"/>
  <c r="E282" i="15"/>
  <c r="E283" i="15"/>
  <c r="E284" i="15"/>
  <c r="E285" i="15"/>
  <c r="E286" i="15"/>
  <c r="E287" i="15"/>
  <c r="E288" i="15"/>
  <c r="F311" i="15" l="1"/>
  <c r="D310" i="15"/>
  <c r="K106" i="18"/>
  <c r="V155" i="18"/>
  <c r="X155" i="18" s="1"/>
  <c r="V154" i="18"/>
  <c r="W154" i="18" s="1"/>
  <c r="S155" i="18"/>
  <c r="S154" i="18"/>
  <c r="D309" i="15" l="1"/>
  <c r="F310" i="15"/>
  <c r="W155" i="18"/>
  <c r="X154" i="18"/>
  <c r="O19" i="18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D304" i="15" l="1"/>
  <c r="F305" i="15"/>
  <c r="P172" i="18"/>
  <c r="W247" i="18"/>
  <c r="J108" i="52"/>
  <c r="D303" i="15" l="1"/>
  <c r="F304" i="15"/>
  <c r="R211" i="18"/>
  <c r="U249" i="18"/>
  <c r="W246" i="18"/>
  <c r="W245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AM249" i="18" s="1"/>
  <c r="W244" i="18"/>
  <c r="D299" i="15" l="1"/>
  <c r="F300" i="15"/>
  <c r="AL248" i="18"/>
  <c r="D8" i="60"/>
  <c r="C7" i="60"/>
  <c r="J3" i="60"/>
  <c r="F8" i="60" s="1"/>
  <c r="D3" i="60"/>
  <c r="D4" i="60"/>
  <c r="D5" i="60"/>
  <c r="D6" i="60"/>
  <c r="D2" i="60"/>
  <c r="F299" i="15" l="1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97" i="15" l="1"/>
  <c r="F298" i="15"/>
  <c r="D21" i="60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D296" i="15" l="1"/>
  <c r="F297" i="15"/>
  <c r="AL236" i="18"/>
  <c r="AM237" i="18"/>
  <c r="D295" i="15" l="1"/>
  <c r="F296" i="15"/>
  <c r="AM236" i="18"/>
  <c r="AL235" i="18"/>
  <c r="D68" i="52"/>
  <c r="F295" i="15" l="1"/>
  <c r="D294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D293" i="15" l="1"/>
  <c r="F294" i="15"/>
  <c r="P111" i="52"/>
  <c r="P110" i="52"/>
  <c r="P106" i="52"/>
  <c r="P104" i="52"/>
  <c r="P107" i="52"/>
  <c r="P105" i="52"/>
  <c r="AM234" i="18"/>
  <c r="AL233" i="18"/>
  <c r="P99" i="52"/>
  <c r="P109" i="52"/>
  <c r="P103" i="52"/>
  <c r="P102" i="52"/>
  <c r="P101" i="52"/>
  <c r="P100" i="52"/>
  <c r="D292" i="15" l="1"/>
  <c r="F293" i="15"/>
  <c r="AL232" i="18"/>
  <c r="AM233" i="18"/>
  <c r="R281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91" i="15" l="1"/>
  <c r="F292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F291" i="15" l="1"/>
  <c r="D290" i="15"/>
  <c r="AL230" i="18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D289" i="15" l="1"/>
  <c r="F290" i="15"/>
  <c r="AM230" i="18"/>
  <c r="AL229" i="18"/>
  <c r="P97" i="52"/>
  <c r="P98" i="52"/>
  <c r="P95" i="52"/>
  <c r="P96" i="52"/>
  <c r="P94" i="52"/>
  <c r="P93" i="52"/>
  <c r="O138" i="18"/>
  <c r="N91" i="52"/>
  <c r="P92" i="52" s="1"/>
  <c r="F289" i="15" l="1"/>
  <c r="D288" i="15"/>
  <c r="AL228" i="18"/>
  <c r="AM228" i="18" s="1"/>
  <c r="AM229" i="18"/>
  <c r="R242" i="18"/>
  <c r="T265" i="18" s="1"/>
  <c r="W241" i="18"/>
  <c r="W240" i="18"/>
  <c r="W239" i="18"/>
  <c r="M48" i="52"/>
  <c r="M47" i="52"/>
  <c r="N38" i="52"/>
  <c r="N37" i="52"/>
  <c r="M49" i="52"/>
  <c r="N50" i="52" s="1"/>
  <c r="D287" i="15" l="1"/>
  <c r="F288" i="15"/>
  <c r="N49" i="52"/>
  <c r="D63" i="58"/>
  <c r="AL148" i="18"/>
  <c r="AM148" i="18" s="1"/>
  <c r="AL149" i="18"/>
  <c r="AM149" i="18" s="1"/>
  <c r="W238" i="18"/>
  <c r="F287" i="15" l="1"/>
  <c r="D286" i="15"/>
  <c r="G127" i="18"/>
  <c r="J127" i="18" s="1"/>
  <c r="J126" i="18"/>
  <c r="G125" i="18"/>
  <c r="J125" i="18" s="1"/>
  <c r="G124" i="18"/>
  <c r="J124" i="18" s="1"/>
  <c r="D285" i="15" l="1"/>
  <c r="F286" i="15"/>
  <c r="J128" i="18"/>
  <c r="W237" i="18"/>
  <c r="D284" i="15" l="1"/>
  <c r="F285" i="15"/>
  <c r="O90" i="52"/>
  <c r="O91" i="52"/>
  <c r="J91" i="52"/>
  <c r="D283" i="15" l="1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F283" i="15" l="1"/>
  <c r="D282" i="15"/>
  <c r="G32" i="57"/>
  <c r="H32" i="57"/>
  <c r="D32" i="57"/>
  <c r="I32" i="57" s="1"/>
  <c r="D345" i="20"/>
  <c r="W235" i="18"/>
  <c r="W234" i="18"/>
  <c r="D281" i="15" l="1"/>
  <c r="F282" i="15"/>
  <c r="W170" i="18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F281" i="15" l="1"/>
  <c r="D280" i="15"/>
  <c r="C46" i="56"/>
  <c r="B46" i="56"/>
  <c r="D279" i="15" l="1"/>
  <c r="F280" i="15"/>
  <c r="O84" i="52"/>
  <c r="P22" i="18"/>
  <c r="W233" i="18"/>
  <c r="D343" i="20"/>
  <c r="F279" i="15" l="1"/>
  <c r="D278" i="15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Q82" i="18" s="1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Q157" i="18" s="1"/>
  <c r="R181" i="18" l="1"/>
  <c r="R191" i="18" s="1"/>
  <c r="T252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5" i="18"/>
  <c r="S170" i="18"/>
  <c r="U265" i="18"/>
  <c r="G304" i="20"/>
  <c r="I305" i="20"/>
  <c r="K305" i="20"/>
  <c r="J305" i="20"/>
  <c r="AL73" i="18"/>
  <c r="AM74" i="18"/>
  <c r="N81" i="18"/>
  <c r="V56" i="18" s="1"/>
  <c r="W56" i="18" l="1"/>
  <c r="X56" i="18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5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3" i="18" l="1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X13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V153" i="18" s="1"/>
  <c r="K254" i="20"/>
  <c r="I254" i="20"/>
  <c r="G253" i="20"/>
  <c r="J254" i="20"/>
  <c r="F249" i="15"/>
  <c r="D248" i="15"/>
  <c r="AM23" i="18"/>
  <c r="AL22" i="18"/>
  <c r="E176" i="13"/>
  <c r="G177" i="13"/>
  <c r="D165" i="20"/>
  <c r="W152" i="18" l="1"/>
  <c r="W153" i="18"/>
  <c r="X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<sst xmlns="http://schemas.openxmlformats.org/spreadsheetml/2006/main" count="11821" uniqueCount="5068">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</sst>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abSelected="1"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6"/>
  <sheetViews>
    <sheetView topLeftCell="I17" zoomScaleNormal="100" workbookViewId="0">
      <selection activeCell="K42" sqref="K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 t="shared" ref="V20:V57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521438171.93880475</v>
      </c>
      <c r="M21" s="168" t="s">
        <v>4301</v>
      </c>
      <c r="N21" s="113">
        <f t="shared" ref="N21:N24" si="9">O21*P21</f>
        <v>45029806.399999999</v>
      </c>
      <c r="O21" s="99">
        <v>229276</v>
      </c>
      <c r="P21" s="186">
        <f>P49</f>
        <v>196.4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183211490.40000001</v>
      </c>
      <c r="O22" s="99">
        <v>48936</v>
      </c>
      <c r="P22" s="186">
        <f>P43</f>
        <v>3743.9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109484828.09999999</v>
      </c>
      <c r="O23" s="99">
        <v>159297</v>
      </c>
      <c r="P23" s="186">
        <f>P47</f>
        <v>687.3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474934124.93880475</v>
      </c>
      <c r="G24" s="95">
        <f t="shared" si="0"/>
        <v>-194627779.55686611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45004950</v>
      </c>
      <c r="O24" s="99">
        <v>9250</v>
      </c>
      <c r="P24" s="99">
        <f>P46</f>
        <v>4865.3999999999996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5463844.1999999993</v>
      </c>
      <c r="O27" s="69">
        <v>1123</v>
      </c>
      <c r="P27" s="99">
        <f>P46</f>
        <v>4865.3999999999996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5069240.6000000006</v>
      </c>
      <c r="O28" s="69">
        <v>1354</v>
      </c>
      <c r="P28" s="99">
        <f>P43</f>
        <v>3743.9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661869.89999999991</v>
      </c>
      <c r="O29" s="69">
        <v>963</v>
      </c>
      <c r="P29" s="99">
        <f>P47</f>
        <v>687.3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25757270.800000001</v>
      </c>
      <c r="O30" s="69">
        <v>131147</v>
      </c>
      <c r="P30" s="99">
        <f>P49</f>
        <v>196.4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-521438171.93880475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7" si="14">V34*(1+$W$19/100)</f>
        <v>3390.8392635616437</v>
      </c>
      <c r="X34" s="32">
        <f t="shared" ref="X34:X57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15450000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177741652.5</v>
      </c>
      <c r="O43" s="99">
        <v>47475</v>
      </c>
      <c r="P43" s="99">
        <v>3743.9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838800</v>
      </c>
      <c r="O44" s="69">
        <v>2000</v>
      </c>
      <c r="P44" s="69">
        <v>419.4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62210</v>
      </c>
      <c r="O45" s="69">
        <v>50</v>
      </c>
      <c r="P45" s="69">
        <v>1244.2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161716165.19999999</v>
      </c>
      <c r="O46" s="69">
        <v>33238</v>
      </c>
      <c r="P46" s="69">
        <v>4865.3999999999996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73427695.5</v>
      </c>
      <c r="O47" s="69">
        <v>106835</v>
      </c>
      <c r="P47" s="69">
        <v>687.3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5089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264457313.59999999</v>
      </c>
      <c r="O49" s="99">
        <v>1346524</v>
      </c>
      <c r="P49" s="99">
        <v>196.4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515000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-10545501.6</v>
      </c>
      <c r="O55" s="99">
        <v>53694</v>
      </c>
      <c r="P55" s="99">
        <f>P49</f>
        <v>196.4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-16644733.678892979</v>
      </c>
      <c r="Q58" s="169">
        <f>SUM(N21:N24)-SUM(Q20:Q57)</f>
        <v>38023292.899999976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25750000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474934124.93880475</v>
      </c>
      <c r="M61" s="168"/>
      <c r="N61" s="113">
        <f>SUM(N16:N60)</f>
        <v>530405150.98230219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544934124.93880475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 t="shared" ref="V64:V81" si="17">U64*(1+$N$81+$Q$15*S64/36500)</f>
        <v>210.4581610958904</v>
      </c>
      <c r="W64" s="32">
        <f t="shared" ref="W64:W81" si="18">V64*(1+$W$19/100)</f>
        <v>214.66732431780821</v>
      </c>
      <c r="X64" s="32">
        <f t="shared" ref="X64:X81" si="19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 t="shared" si="17"/>
        <v>189.38846027397261</v>
      </c>
      <c r="W65" s="32">
        <f t="shared" si="18"/>
        <v>193.17622947945208</v>
      </c>
      <c r="X65" s="32">
        <f t="shared" si="19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 t="shared" si="17"/>
        <v>187.23744000000002</v>
      </c>
      <c r="W66" s="32">
        <f t="shared" si="18"/>
        <v>190.98218880000002</v>
      </c>
      <c r="X66" s="32">
        <f t="shared" si="19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 t="shared" si="17"/>
        <v>186.99731726027397</v>
      </c>
      <c r="W67" s="32">
        <f t="shared" si="18"/>
        <v>190.73726360547946</v>
      </c>
      <c r="X67" s="32">
        <f t="shared" si="19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 t="shared" si="17"/>
        <v>189.31998246575341</v>
      </c>
      <c r="W68" s="32">
        <f t="shared" si="18"/>
        <v>193.10638211506847</v>
      </c>
      <c r="X68" s="32">
        <f t="shared" si="19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 t="shared" si="17"/>
        <v>5803.1862027397265</v>
      </c>
      <c r="W69" s="32">
        <f t="shared" si="18"/>
        <v>5919.2499267945213</v>
      </c>
      <c r="X69" s="32">
        <f t="shared" si="19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 t="shared" si="17"/>
        <v>545.68771068493163</v>
      </c>
      <c r="W70" s="32">
        <f t="shared" si="18"/>
        <v>556.6014648986303</v>
      </c>
      <c r="X70" s="32">
        <f t="shared" si="19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 t="shared" si="17"/>
        <v>3325.3189128767126</v>
      </c>
      <c r="W71" s="32">
        <f t="shared" si="18"/>
        <v>3391.825291134247</v>
      </c>
      <c r="X71" s="32">
        <f t="shared" si="19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 t="shared" si="17"/>
        <v>3792.4723397260277</v>
      </c>
      <c r="W72" s="32">
        <f t="shared" si="18"/>
        <v>3868.3217865205484</v>
      </c>
      <c r="X72" s="32">
        <f t="shared" si="19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 t="shared" si="17"/>
        <v>3936.1157720547949</v>
      </c>
      <c r="W73" s="32">
        <f t="shared" si="18"/>
        <v>4014.8380874958907</v>
      </c>
      <c r="X73" s="32">
        <f t="shared" si="19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 t="shared" si="17"/>
        <v>6516.6796076712335</v>
      </c>
      <c r="W74" s="32">
        <f t="shared" si="18"/>
        <v>6647.0131998246579</v>
      </c>
      <c r="X74" s="32">
        <f t="shared" si="19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324698889.19999999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 t="shared" si="17"/>
        <v>190.80532602739729</v>
      </c>
      <c r="W75" s="32">
        <f t="shared" si="18"/>
        <v>194.62143254794523</v>
      </c>
      <c r="X75" s="32">
        <f t="shared" si="19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 t="shared" si="17"/>
        <v>652.68454794520562</v>
      </c>
      <c r="W76" s="32">
        <f t="shared" si="18"/>
        <v>665.73823890410972</v>
      </c>
      <c r="X76" s="32">
        <f t="shared" si="19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 t="shared" si="17"/>
        <v>4084.0594717808222</v>
      </c>
      <c r="W77" s="32">
        <f t="shared" si="18"/>
        <v>4165.7406612164386</v>
      </c>
      <c r="X77" s="32">
        <f t="shared" si="19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 t="shared" si="17"/>
        <v>222.12051506849318</v>
      </c>
      <c r="W78" s="32">
        <f t="shared" si="18"/>
        <v>226.56292536986305</v>
      </c>
      <c r="X78" s="32">
        <f t="shared" si="19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5049</v>
      </c>
      <c r="S79" s="198">
        <f>S78-8</f>
        <v>-1</v>
      </c>
      <c r="T79" s="190" t="s">
        <v>5050</v>
      </c>
      <c r="U79" s="215">
        <v>3607.3</v>
      </c>
      <c r="V79" s="215">
        <f t="shared" si="17"/>
        <v>3644.9345161643846</v>
      </c>
      <c r="W79" s="32">
        <f t="shared" si="18"/>
        <v>3717.8332064876722</v>
      </c>
      <c r="X79" s="32">
        <f t="shared" si="19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5049</v>
      </c>
      <c r="S80" s="198">
        <f>S79</f>
        <v>-1</v>
      </c>
      <c r="T80" s="190" t="s">
        <v>5051</v>
      </c>
      <c r="U80" s="215">
        <v>4574</v>
      </c>
      <c r="V80" s="215">
        <f t="shared" si="17"/>
        <v>4621.7199780821929</v>
      </c>
      <c r="W80" s="32">
        <f t="shared" si="18"/>
        <v>4714.1543776438366</v>
      </c>
      <c r="X80" s="32">
        <f t="shared" si="19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 t="shared" si="17"/>
        <v>0</v>
      </c>
      <c r="W81" s="32">
        <f t="shared" si="18"/>
        <v>0</v>
      </c>
      <c r="X81" s="32">
        <f t="shared" si="19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526127.5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 t="shared" ref="V90:V121" si="22">U90*(1+$N$81+$Q$15*S90/36500)</f>
        <v>228.02656438356166</v>
      </c>
      <c r="W90" s="32">
        <f t="shared" ref="W90:W110" si="23">V90*(1+$W$19/100)</f>
        <v>232.5870956712329</v>
      </c>
      <c r="X90" s="32">
        <f t="shared" ref="X90:X110" si="24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 t="shared" si="22"/>
        <v>249.7289111232877</v>
      </c>
      <c r="W91" s="32">
        <f t="shared" si="23"/>
        <v>254.72348934575345</v>
      </c>
      <c r="X91" s="32">
        <f t="shared" si="24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 t="shared" si="22"/>
        <v>238.94068602739728</v>
      </c>
      <c r="W92" s="32">
        <f t="shared" si="23"/>
        <v>243.71949974794524</v>
      </c>
      <c r="X92" s="32">
        <f t="shared" si="24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 t="shared" si="22"/>
        <v>234.49505534246578</v>
      </c>
      <c r="W93" s="32">
        <f t="shared" si="23"/>
        <v>239.18495644931511</v>
      </c>
      <c r="X93" s="32">
        <f t="shared" si="24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 t="shared" si="22"/>
        <v>233.57501589041095</v>
      </c>
      <c r="W94" s="32">
        <f t="shared" si="23"/>
        <v>238.24651620821916</v>
      </c>
      <c r="X94" s="32">
        <f t="shared" si="24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 t="shared" si="22"/>
        <v>4516.6790136986301</v>
      </c>
      <c r="W95" s="32">
        <f t="shared" si="23"/>
        <v>4607.0125939726031</v>
      </c>
      <c r="X95" s="32">
        <f t="shared" si="24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 t="shared" si="22"/>
        <v>231.95985972602739</v>
      </c>
      <c r="W96" s="32">
        <f t="shared" si="23"/>
        <v>236.59905692054795</v>
      </c>
      <c r="X96" s="32">
        <f t="shared" si="24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 t="shared" si="22"/>
        <v>6369.026592876713</v>
      </c>
      <c r="W97" s="32">
        <f t="shared" si="23"/>
        <v>6496.4071247342472</v>
      </c>
      <c r="X97" s="32">
        <f t="shared" si="24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 t="shared" si="22"/>
        <v>506.0582969863014</v>
      </c>
      <c r="W98" s="32">
        <f t="shared" si="23"/>
        <v>516.17946292602744</v>
      </c>
      <c r="X98" s="32">
        <f t="shared" si="24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 t="shared" si="22"/>
        <v>224.5861084931507</v>
      </c>
      <c r="W99" s="32">
        <f t="shared" si="23"/>
        <v>229.07783066301371</v>
      </c>
      <c r="X99" s="32">
        <f t="shared" si="24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26221.995926680243</v>
      </c>
      <c r="G100" s="200">
        <f>P49</f>
        <v>196.4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360500000</v>
      </c>
      <c r="M100" s="217">
        <f>N21+N30+N49</f>
        <v>335244390.80000001</v>
      </c>
      <c r="N100" s="184">
        <f t="shared" ref="N100:N104" si="26">L100-M100</f>
        <v>25255609.199999988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 t="shared" si="22"/>
        <v>210.34415342465755</v>
      </c>
      <c r="W100" s="32">
        <f t="shared" si="23"/>
        <v>214.55103649315069</v>
      </c>
      <c r="X100" s="32">
        <f t="shared" si="24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1058.4946766966746</v>
      </c>
      <c r="G101" s="215">
        <f>P46</f>
        <v>4865.3999999999996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226600000</v>
      </c>
      <c r="M101" s="1">
        <f>N24+N46+N27</f>
        <v>212184959.39999998</v>
      </c>
      <c r="N101" s="113">
        <f t="shared" si="26"/>
        <v>14415040.600000024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 t="shared" si="22"/>
        <v>202.09128767123289</v>
      </c>
      <c r="W101" s="32">
        <f t="shared" si="23"/>
        <v>206.13311342465755</v>
      </c>
      <c r="X101" s="32">
        <f t="shared" si="24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1375.5709287107027</v>
      </c>
      <c r="G102" s="200">
        <f>P43</f>
        <v>3743.9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288400000</v>
      </c>
      <c r="M102" s="217">
        <f>N43+N28+N22</f>
        <v>366022383.5</v>
      </c>
      <c r="N102" s="184">
        <f t="shared" si="26"/>
        <v>-77622383.5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 t="shared" si="22"/>
        <v>215.93471342465756</v>
      </c>
      <c r="W102" s="32">
        <f t="shared" si="23"/>
        <v>220.25340769315071</v>
      </c>
      <c r="X102" s="32">
        <f t="shared" si="24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7493.0888985886804</v>
      </c>
      <c r="G103" s="215">
        <f>P47</f>
        <v>687.3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206000000</v>
      </c>
      <c r="M103" s="1">
        <f>N47+N23+N29</f>
        <v>183574393.5</v>
      </c>
      <c r="N103" s="113">
        <f t="shared" si="26"/>
        <v>22425606.5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 t="shared" si="22"/>
        <v>456.91151780821923</v>
      </c>
      <c r="W103" s="32">
        <f t="shared" si="23"/>
        <v>466.04974816438363</v>
      </c>
      <c r="X103" s="32">
        <f t="shared" si="24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5150000</v>
      </c>
      <c r="M104" s="217">
        <f>N44+N45</f>
        <v>901010</v>
      </c>
      <c r="N104" s="184">
        <f t="shared" si="26"/>
        <v>4248990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 t="shared" si="22"/>
        <v>192.82509369863016</v>
      </c>
      <c r="W104" s="32">
        <f t="shared" si="23"/>
        <v>196.68159557260276</v>
      </c>
      <c r="X104" s="32">
        <f t="shared" si="24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 t="shared" si="22"/>
        <v>190.59765479452054</v>
      </c>
      <c r="W105" s="32">
        <f t="shared" si="23"/>
        <v>194.40960789041094</v>
      </c>
      <c r="X105" s="32">
        <f t="shared" si="24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 t="shared" si="22"/>
        <v>188.48322630136985</v>
      </c>
      <c r="W106" s="32">
        <f t="shared" si="23"/>
        <v>192.25289082739727</v>
      </c>
      <c r="X106" s="32">
        <f t="shared" si="24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5150000</v>
      </c>
      <c r="M107" s="1">
        <f>K107*L107</f>
        <v>41200000</v>
      </c>
      <c r="N107" s="113">
        <f>SUM(N100:N105)-M107</f>
        <v>-2477137.1999999881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 t="shared" si="22"/>
        <v>192.6668493150685</v>
      </c>
      <c r="W107" s="32">
        <f t="shared" si="23"/>
        <v>196.52018630136988</v>
      </c>
      <c r="X107" s="32">
        <f t="shared" si="24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 t="shared" si="22"/>
        <v>189.2100405479452</v>
      </c>
      <c r="W108" s="32">
        <f t="shared" si="23"/>
        <v>192.99424135890411</v>
      </c>
      <c r="X108" s="32">
        <f t="shared" si="24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 t="shared" si="22"/>
        <v>1321.6978235616439</v>
      </c>
      <c r="W109" s="32">
        <f t="shared" si="23"/>
        <v>1348.1317800328768</v>
      </c>
      <c r="X109" s="32">
        <f t="shared" si="24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 t="shared" si="22"/>
        <v>188.48483945205481</v>
      </c>
      <c r="W110" s="32">
        <f t="shared" si="23"/>
        <v>192.25453624109591</v>
      </c>
      <c r="X110" s="32">
        <f t="shared" si="24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 t="shared" si="22"/>
        <v>3734.0607978082198</v>
      </c>
      <c r="W111" s="32">
        <f t="shared" ref="W111:W156" si="27">V111*(1+$W$19/100)</f>
        <v>3808.7420137643844</v>
      </c>
      <c r="X111" s="32">
        <f t="shared" ref="X111:X156" si="28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 t="shared" si="22"/>
        <v>3639.8572668493152</v>
      </c>
      <c r="W112" s="32">
        <f t="shared" si="27"/>
        <v>3712.6544121863017</v>
      </c>
      <c r="X112" s="32">
        <f t="shared" si="28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 t="shared" si="22"/>
        <v>5751.7041402739724</v>
      </c>
      <c r="W113" s="32">
        <f t="shared" si="27"/>
        <v>5866.7382230794519</v>
      </c>
      <c r="X113" s="32">
        <f t="shared" si="28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3743.9</v>
      </c>
      <c r="H114" s="215" t="s">
        <v>4391</v>
      </c>
      <c r="I114" s="215">
        <v>3761</v>
      </c>
      <c r="J114" s="1">
        <f>I114*G114</f>
        <v>14080807.9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 t="shared" si="22"/>
        <v>407.27171506849317</v>
      </c>
      <c r="W114" s="32">
        <f t="shared" si="27"/>
        <v>415.41714936986301</v>
      </c>
      <c r="X114" s="32">
        <f t="shared" si="28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4865.3999999999996</v>
      </c>
      <c r="H115" s="215" t="s">
        <v>4395</v>
      </c>
      <c r="I115" s="215">
        <v>7163</v>
      </c>
      <c r="J115" s="1">
        <f>I115*G115</f>
        <v>34850860.199999996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 t="shared" si="22"/>
        <v>5835.3716164383568</v>
      </c>
      <c r="W115" s="32">
        <f t="shared" si="27"/>
        <v>5952.0790487671238</v>
      </c>
      <c r="X115" s="32">
        <f t="shared" si="28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687.3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 t="shared" si="22"/>
        <v>546.20392109589045</v>
      </c>
      <c r="W116" s="32">
        <f t="shared" si="27"/>
        <v>557.12799951780823</v>
      </c>
      <c r="X116" s="32">
        <f t="shared" si="28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5089</v>
      </c>
      <c r="H117" s="215" t="s">
        <v>4538</v>
      </c>
      <c r="I117" s="215">
        <v>130</v>
      </c>
      <c r="J117" s="1">
        <f>I117*G117</f>
        <v>661570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 t="shared" si="22"/>
        <v>5900.8643857534262</v>
      </c>
      <c r="W117" s="32">
        <f t="shared" si="27"/>
        <v>6018.8816734684951</v>
      </c>
      <c r="X117" s="32">
        <f t="shared" si="28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49593238.099999994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 t="shared" si="22"/>
        <v>5814.5403813698631</v>
      </c>
      <c r="W118" s="32">
        <f t="shared" si="27"/>
        <v>5930.8311889972601</v>
      </c>
      <c r="X118" s="32">
        <f t="shared" si="28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 t="shared" si="22"/>
        <v>5650.7351671232882</v>
      </c>
      <c r="W119" s="32">
        <f t="shared" si="27"/>
        <v>5763.7498704657537</v>
      </c>
      <c r="X119" s="32">
        <f t="shared" si="28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 t="shared" si="22"/>
        <v>5236.2963945205493</v>
      </c>
      <c r="W120" s="32">
        <f t="shared" si="27"/>
        <v>5341.0223224109604</v>
      </c>
      <c r="X120" s="32">
        <f t="shared" si="28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 t="shared" si="22"/>
        <v>378.58268493150689</v>
      </c>
      <c r="W121" s="32">
        <f t="shared" si="27"/>
        <v>386.15433863013703</v>
      </c>
      <c r="X121" s="32">
        <f t="shared" si="28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 t="shared" ref="V122:V153" si="32">U122*(1+$N$81+$Q$15*S122/36500)</f>
        <v>553.5478049315069</v>
      </c>
      <c r="W122" s="32">
        <f t="shared" si="27"/>
        <v>564.61876103013708</v>
      </c>
      <c r="X122" s="32">
        <f t="shared" si="28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 t="shared" si="32"/>
        <v>3468.9068405479452</v>
      </c>
      <c r="W123" s="32">
        <f t="shared" si="27"/>
        <v>3538.2849773589041</v>
      </c>
      <c r="X123" s="32">
        <f t="shared" si="28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3743.9</v>
      </c>
      <c r="H124" s="215" t="s">
        <v>4391</v>
      </c>
      <c r="I124" s="215">
        <v>1000</v>
      </c>
      <c r="J124" s="1">
        <f>I124*G124</f>
        <v>3743900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 t="shared" si="32"/>
        <v>3462.5449972602746</v>
      </c>
      <c r="W124" s="32">
        <f t="shared" si="27"/>
        <v>3531.7958972054803</v>
      </c>
      <c r="X124" s="32">
        <f t="shared" si="28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4865.3999999999996</v>
      </c>
      <c r="H125" s="215" t="s">
        <v>4931</v>
      </c>
      <c r="I125" s="215">
        <v>1000</v>
      </c>
      <c r="J125" s="1">
        <f t="shared" ref="J125:J127" si="33">I125*G125</f>
        <v>4865400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 t="shared" si="32"/>
        <v>547.93236821917822</v>
      </c>
      <c r="W125" s="32">
        <f t="shared" si="27"/>
        <v>558.89101558356174</v>
      </c>
      <c r="X125" s="32">
        <f t="shared" si="28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196.4</v>
      </c>
      <c r="H126" s="215" t="s">
        <v>4243</v>
      </c>
      <c r="I126" s="215">
        <v>108344</v>
      </c>
      <c r="J126" s="1">
        <f t="shared" si="33"/>
        <v>21278761.600000001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 t="shared" si="32"/>
        <v>545.3617972602741</v>
      </c>
      <c r="W126" s="32">
        <f t="shared" si="27"/>
        <v>556.26903320547956</v>
      </c>
      <c r="X126" s="32">
        <f t="shared" si="28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5089</v>
      </c>
      <c r="H127" s="215" t="s">
        <v>4538</v>
      </c>
      <c r="I127" s="215">
        <v>3</v>
      </c>
      <c r="J127" s="1">
        <f t="shared" si="33"/>
        <v>15267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 t="shared" si="32"/>
        <v>522.9387989041096</v>
      </c>
      <c r="W127" s="32">
        <f t="shared" si="27"/>
        <v>533.39757488219186</v>
      </c>
      <c r="X127" s="32">
        <f t="shared" si="28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29903328.600000001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 t="shared" si="32"/>
        <v>3380.2649073972607</v>
      </c>
      <c r="W128" s="32">
        <f t="shared" si="27"/>
        <v>3447.8702055452059</v>
      </c>
      <c r="X128" s="32">
        <f t="shared" si="28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 t="shared" si="32"/>
        <v>3366.1047232876717</v>
      </c>
      <c r="W129" s="32">
        <f t="shared" si="27"/>
        <v>3433.4268177534254</v>
      </c>
      <c r="X129" s="32">
        <f t="shared" si="28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 t="shared" si="32"/>
        <v>3354.9796032876716</v>
      </c>
      <c r="W130" s="32">
        <f t="shared" si="27"/>
        <v>3422.0791953534249</v>
      </c>
      <c r="X130" s="32">
        <f t="shared" si="28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 t="shared" si="32"/>
        <v>525.98715616438358</v>
      </c>
      <c r="W131" s="32">
        <f t="shared" si="27"/>
        <v>536.50689928767122</v>
      </c>
      <c r="X131" s="32">
        <f t="shared" si="28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 t="shared" si="32"/>
        <v>3324.459629589041</v>
      </c>
      <c r="W132" s="32">
        <f t="shared" si="27"/>
        <v>3390.9488221808219</v>
      </c>
      <c r="X132" s="32">
        <f t="shared" si="28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 t="shared" si="32"/>
        <v>3354.178082191781</v>
      </c>
      <c r="W133" s="32">
        <f t="shared" si="27"/>
        <v>3421.2616438356167</v>
      </c>
      <c r="X133" s="32">
        <f t="shared" si="28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 t="shared" si="32"/>
        <v>3532.3012602739727</v>
      </c>
      <c r="W134" s="32">
        <f t="shared" si="27"/>
        <v>3602.9472854794521</v>
      </c>
      <c r="X134" s="32">
        <f t="shared" si="28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 t="shared" si="32"/>
        <v>5606.2934136986305</v>
      </c>
      <c r="W135" s="32">
        <f t="shared" si="27"/>
        <v>5718.4192819726031</v>
      </c>
      <c r="X135" s="32">
        <f t="shared" si="28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 t="shared" si="32"/>
        <v>5586.7920000000004</v>
      </c>
      <c r="W136" s="32">
        <f t="shared" si="27"/>
        <v>5698.5278400000007</v>
      </c>
      <c r="X136" s="32">
        <f t="shared" si="28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 t="shared" si="32"/>
        <v>570.82724821917816</v>
      </c>
      <c r="W137" s="32">
        <f t="shared" si="27"/>
        <v>582.24379318356171</v>
      </c>
      <c r="X137" s="32">
        <f t="shared" si="28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 t="shared" si="32"/>
        <v>5665.9838553424661</v>
      </c>
      <c r="W138" s="32">
        <f t="shared" si="27"/>
        <v>5779.3035324493158</v>
      </c>
      <c r="X138" s="32">
        <f t="shared" si="28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 t="shared" si="32"/>
        <v>3581.848072328768</v>
      </c>
      <c r="W139" s="32">
        <f t="shared" si="27"/>
        <v>3653.4850337753433</v>
      </c>
      <c r="X139" s="32">
        <f t="shared" si="28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 t="shared" si="32"/>
        <v>3796.7849556164388</v>
      </c>
      <c r="W140" s="32">
        <f t="shared" si="27"/>
        <v>3872.7206547287674</v>
      </c>
      <c r="X140" s="32">
        <f t="shared" si="28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 t="shared" si="32"/>
        <v>3890.9492295890409</v>
      </c>
      <c r="W141" s="32">
        <f t="shared" si="27"/>
        <v>3968.7682141808218</v>
      </c>
      <c r="X141" s="32">
        <f t="shared" si="28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 t="shared" si="32"/>
        <v>6338.0016482191777</v>
      </c>
      <c r="W142" s="32">
        <f t="shared" si="27"/>
        <v>6464.7616811835614</v>
      </c>
      <c r="X142" s="32">
        <f t="shared" si="28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 t="shared" si="32"/>
        <v>187.33316383561643</v>
      </c>
      <c r="W143" s="32">
        <f t="shared" si="27"/>
        <v>191.07982711232876</v>
      </c>
      <c r="X143" s="32">
        <f t="shared" si="28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 t="shared" si="32"/>
        <v>652.99412164383568</v>
      </c>
      <c r="W144" s="32">
        <f t="shared" si="27"/>
        <v>666.05400407671243</v>
      </c>
      <c r="X144" s="32">
        <f t="shared" si="28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 t="shared" si="32"/>
        <v>198.25630684931511</v>
      </c>
      <c r="W145" s="32">
        <f t="shared" si="27"/>
        <v>202.22143298630141</v>
      </c>
      <c r="X145" s="32">
        <f t="shared" si="28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 t="shared" si="32"/>
        <v>4084.1614356164387</v>
      </c>
      <c r="W146" s="32">
        <f t="shared" si="27"/>
        <v>4165.8446643287671</v>
      </c>
      <c r="X146" s="32">
        <f t="shared" si="28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 t="shared" si="32"/>
        <v>4164.7380515068498</v>
      </c>
      <c r="W147" s="32">
        <f t="shared" si="27"/>
        <v>4248.032812536987</v>
      </c>
      <c r="X147" s="32">
        <f t="shared" si="28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 t="shared" si="32"/>
        <v>222.12051506849318</v>
      </c>
      <c r="W148" s="32">
        <f t="shared" si="27"/>
        <v>226.56292536986305</v>
      </c>
      <c r="X148" s="32">
        <f t="shared" si="28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 t="shared" si="32"/>
        <v>4144.2720175342465</v>
      </c>
      <c r="W149" s="32">
        <f t="shared" si="27"/>
        <v>4227.1574578849313</v>
      </c>
      <c r="X149" s="32">
        <f t="shared" si="28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5040</v>
      </c>
      <c r="S150" s="215">
        <f>S149-6</f>
        <v>0</v>
      </c>
      <c r="T150" s="215" t="s">
        <v>5047</v>
      </c>
      <c r="U150" s="215">
        <v>3686.5</v>
      </c>
      <c r="V150" s="99">
        <f t="shared" si="32"/>
        <v>3727.7888000000003</v>
      </c>
      <c r="W150" s="32">
        <f t="shared" si="27"/>
        <v>3802.3445760000004</v>
      </c>
      <c r="X150" s="32">
        <f t="shared" si="28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5040</v>
      </c>
      <c r="S151" s="215">
        <f>S150</f>
        <v>0</v>
      </c>
      <c r="T151" s="215" t="s">
        <v>5048</v>
      </c>
      <c r="U151" s="215">
        <v>192</v>
      </c>
      <c r="V151" s="99">
        <f t="shared" si="32"/>
        <v>194.15040000000002</v>
      </c>
      <c r="W151" s="32">
        <f t="shared" si="27"/>
        <v>198.03340800000004</v>
      </c>
      <c r="X151" s="32">
        <f t="shared" si="28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5060</v>
      </c>
      <c r="S152" s="215">
        <f>S151-2</f>
        <v>-2</v>
      </c>
      <c r="T152" s="215" t="s">
        <v>5061</v>
      </c>
      <c r="U152" s="215">
        <v>3700</v>
      </c>
      <c r="V152" s="99">
        <f t="shared" si="32"/>
        <v>3735.7632876712332</v>
      </c>
      <c r="W152" s="32">
        <f t="shared" si="27"/>
        <v>3810.478553424658</v>
      </c>
      <c r="X152" s="32">
        <f t="shared" si="28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400275</v>
      </c>
      <c r="R153" s="215" t="s">
        <v>5060</v>
      </c>
      <c r="S153" s="215">
        <f>S152</f>
        <v>-2</v>
      </c>
      <c r="T153" s="215" t="s">
        <v>5063</v>
      </c>
      <c r="U153" s="215">
        <v>3723</v>
      </c>
      <c r="V153" s="99">
        <f t="shared" si="32"/>
        <v>3758.9856</v>
      </c>
      <c r="W153" s="32">
        <f t="shared" si="27"/>
        <v>3834.1653120000001</v>
      </c>
      <c r="X153" s="32">
        <f t="shared" si="28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11829600</v>
      </c>
      <c r="R154" s="215" t="s">
        <v>5060</v>
      </c>
      <c r="S154" s="215">
        <f>S153</f>
        <v>-2</v>
      </c>
      <c r="T154" s="215" t="s">
        <v>5064</v>
      </c>
      <c r="U154" s="215">
        <v>3714.5</v>
      </c>
      <c r="V154" s="99">
        <f t="shared" ref="V154:V156" si="39">U154*(1+$N$81+$Q$15*S154/36500)</f>
        <v>3750.4034410958907</v>
      </c>
      <c r="W154" s="32">
        <f t="shared" si="27"/>
        <v>3825.4115099178084</v>
      </c>
      <c r="X154" s="32">
        <f t="shared" si="28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4527086</v>
      </c>
      <c r="R155" s="215" t="s">
        <v>5060</v>
      </c>
      <c r="S155" s="215">
        <f>S154</f>
        <v>-2</v>
      </c>
      <c r="T155" s="215" t="s">
        <v>5065</v>
      </c>
      <c r="U155" s="215">
        <v>3748.9</v>
      </c>
      <c r="V155" s="99">
        <f t="shared" si="39"/>
        <v>3785.135943013699</v>
      </c>
      <c r="W155" s="32">
        <f t="shared" si="27"/>
        <v>3860.8386618739733</v>
      </c>
      <c r="X155" s="32">
        <f t="shared" si="28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 t="shared" si="39"/>
        <v>0</v>
      </c>
      <c r="W156" s="32">
        <f t="shared" si="27"/>
        <v>0</v>
      </c>
      <c r="X156" s="32">
        <f t="shared" si="28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22873234.799999952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R167*$T$252</f>
        <v>530840214.73495483</v>
      </c>
      <c r="T167" s="168"/>
      <c r="U167" s="168">
        <f>$Q$165*$T$165*S167/$R$191</f>
        <v>361.78756039767597</v>
      </c>
      <c r="V167" s="95">
        <f>S167+U167</f>
        <v>530840576.52251524</v>
      </c>
      <c r="W167" s="99">
        <f>R167*100/U249</f>
        <v>48.238341386356801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R168*$T$252</f>
        <v>521438171.93880475</v>
      </c>
      <c r="T168" s="168"/>
      <c r="U168" s="215">
        <f>$Q$165*$T$165*S168/$R$191</f>
        <v>355.37971481334694</v>
      </c>
      <c r="V168" s="95">
        <f t="shared" ref="V168:V169" si="40">S168+U168</f>
        <v>521438527.31851953</v>
      </c>
      <c r="W168" s="99">
        <f>R168*100/U249</f>
        <v>47.383961975112925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R169*$T$252</f>
        <v>16644733.678892979</v>
      </c>
      <c r="T169" s="168"/>
      <c r="U169" s="215">
        <f>$Q$165*$T$165*S169/$R$191</f>
        <v>11.344011670559663</v>
      </c>
      <c r="V169" s="95">
        <f t="shared" si="40"/>
        <v>16644745.022904649</v>
      </c>
      <c r="W169" s="99">
        <f>R169*100/U249</f>
        <v>1.5125348894079551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101933</v>
      </c>
      <c r="S170" s="113">
        <f>R170*$T$252</f>
        <v>31529754.847347159</v>
      </c>
      <c r="T170" s="168"/>
      <c r="U170" s="215">
        <f>$Q$165*$T$165*S170/$R$191</f>
        <v>21.488713118417387</v>
      </c>
      <c r="V170" s="95">
        <f>S170+U170</f>
        <v>31529776.336060278</v>
      </c>
      <c r="W170" s="99">
        <f>R170*100/U249</f>
        <v>2.8651617491223189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678246932.79999995</v>
      </c>
    </row>
    <row r="172" spans="15:40">
      <c r="P172">
        <f>R168+776</f>
        <v>1686541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147010299.79999995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112227085.52758455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678243836.79999995</v>
      </c>
      <c r="T181" s="113" t="s">
        <v>4462</v>
      </c>
      <c r="U181" s="56">
        <v>1000000</v>
      </c>
      <c r="V181" s="113">
        <v>239.024</v>
      </c>
      <c r="W181" s="113">
        <f t="shared" ref="W181:W247" si="41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382731074.89999998</v>
      </c>
      <c r="T182" s="168" t="s">
        <v>4444</v>
      </c>
      <c r="U182" s="56">
        <v>5904</v>
      </c>
      <c r="V182" s="113">
        <v>237.148</v>
      </c>
      <c r="W182" s="113">
        <f t="shared" si="41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36952225.5</v>
      </c>
      <c r="T183" s="168" t="s">
        <v>4232</v>
      </c>
      <c r="U183" s="168">
        <v>1000</v>
      </c>
      <c r="V183" s="113">
        <v>247.393</v>
      </c>
      <c r="W183" s="113">
        <f t="shared" si="41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294</v>
      </c>
      <c r="AM183" s="99">
        <f t="shared" ref="AM183:AM211" si="43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41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243</v>
      </c>
      <c r="AM184" s="99">
        <f t="shared" si="43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41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240</v>
      </c>
      <c r="AM185" s="99">
        <f t="shared" si="43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41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232</v>
      </c>
      <c r="AM186" s="99">
        <f t="shared" si="43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1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216</v>
      </c>
      <c r="AM187" s="99">
        <f t="shared" si="43"/>
        <v>-14040000</v>
      </c>
      <c r="AN187" s="99"/>
    </row>
    <row r="188" spans="16:44">
      <c r="Q188" s="99" t="s">
        <v>4992</v>
      </c>
      <c r="R188" s="95">
        <v>796360</v>
      </c>
      <c r="T188" s="168" t="s">
        <v>4512</v>
      </c>
      <c r="U188" s="168">
        <v>8334</v>
      </c>
      <c r="V188" s="113">
        <v>239.97</v>
      </c>
      <c r="W188" s="113">
        <f t="shared" si="41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215</v>
      </c>
      <c r="AM188" s="99">
        <f t="shared" si="43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1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209</v>
      </c>
      <c r="AM189" s="99">
        <f t="shared" si="43"/>
        <v>48488000</v>
      </c>
      <c r="AN189" s="99"/>
    </row>
    <row r="190" spans="16:44">
      <c r="Q190" s="99" t="s">
        <v>5035</v>
      </c>
      <c r="R190" s="95">
        <v>1519895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1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202</v>
      </c>
      <c r="AM190" s="99">
        <f t="shared" si="43"/>
        <v>2626000000</v>
      </c>
      <c r="AN190" s="99"/>
    </row>
    <row r="191" spans="16:44">
      <c r="Q191" s="99" t="s">
        <v>4461</v>
      </c>
      <c r="R191" s="95">
        <f>SUM(R181:R190)</f>
        <v>1100452875.1999998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1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200</v>
      </c>
      <c r="AM191" s="99">
        <f t="shared" si="43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41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197</v>
      </c>
      <c r="AM192" s="99">
        <f t="shared" si="43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41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3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41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187</v>
      </c>
      <c r="AM194" s="99">
        <f t="shared" si="43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41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182</v>
      </c>
      <c r="AM195" s="99">
        <f t="shared" si="43"/>
        <v>-81592056</v>
      </c>
      <c r="AN195" s="99"/>
    </row>
    <row r="196" spans="15:44">
      <c r="T196" s="168" t="s">
        <v>4636</v>
      </c>
      <c r="U196" s="168">
        <v>79720</v>
      </c>
      <c r="V196" s="113">
        <v>246.6568</v>
      </c>
      <c r="W196" s="113">
        <f t="shared" si="41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176</v>
      </c>
      <c r="AM196" s="99">
        <f t="shared" si="43"/>
        <v>5847600</v>
      </c>
      <c r="AN196" s="99"/>
    </row>
    <row r="197" spans="15:44">
      <c r="P197" s="99" t="s">
        <v>8</v>
      </c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176</v>
      </c>
      <c r="AM197" s="149">
        <f t="shared" si="43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41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174</v>
      </c>
      <c r="AM198" s="149">
        <f t="shared" si="43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167</v>
      </c>
      <c r="AM199" s="149">
        <f t="shared" si="43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41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166</v>
      </c>
      <c r="AM200" s="196">
        <f t="shared" si="43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41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166</v>
      </c>
      <c r="AM201" s="99">
        <f t="shared" si="43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162</v>
      </c>
      <c r="AM202" s="196">
        <f t="shared" si="43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41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162</v>
      </c>
      <c r="AM203" s="99">
        <f t="shared" si="43"/>
        <v>-30718278</v>
      </c>
      <c r="AN203" s="99"/>
    </row>
    <row r="204" spans="15:44">
      <c r="P204" s="99"/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41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147</v>
      </c>
      <c r="AM204" s="196">
        <f t="shared" si="43"/>
        <v>1043700</v>
      </c>
      <c r="AN204" s="196" t="s">
        <v>657</v>
      </c>
    </row>
    <row r="205" spans="15:44">
      <c r="P205" s="99" t="s">
        <v>4890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41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147</v>
      </c>
      <c r="AM205" s="20">
        <f t="shared" si="43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144</v>
      </c>
      <c r="AM206" s="196">
        <f t="shared" si="43"/>
        <v>-5356800</v>
      </c>
      <c r="AN206" s="149" t="s">
        <v>657</v>
      </c>
    </row>
    <row r="207" spans="15:44">
      <c r="P207" s="99" t="s">
        <v>4891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41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140</v>
      </c>
      <c r="AM207" s="20">
        <f t="shared" si="43"/>
        <v>-52125640</v>
      </c>
      <c r="AN207" s="99"/>
    </row>
    <row r="208" spans="15:44">
      <c r="P208" s="196" t="s">
        <v>1087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119</v>
      </c>
      <c r="AM208" s="20">
        <f t="shared" si="43"/>
        <v>27972378</v>
      </c>
      <c r="AN208" s="99"/>
    </row>
    <row r="209" spans="16:45">
      <c r="P209" s="20" t="s">
        <v>5024</v>
      </c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41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119</v>
      </c>
      <c r="AM209" s="149">
        <f t="shared" si="43"/>
        <v>27972378</v>
      </c>
      <c r="AN209" s="149" t="s">
        <v>657</v>
      </c>
      <c r="AP209" t="s">
        <v>25</v>
      </c>
    </row>
    <row r="210" spans="16:45">
      <c r="P210" s="99"/>
      <c r="Q210" s="99"/>
      <c r="R210" s="95"/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110</v>
      </c>
      <c r="AM210" s="149">
        <f t="shared" si="43"/>
        <v>49500000</v>
      </c>
      <c r="AN210" s="149" t="s">
        <v>657</v>
      </c>
    </row>
    <row r="211" spans="16:45">
      <c r="P211" s="99"/>
      <c r="Q211" s="99"/>
      <c r="R211" s="95">
        <f>SUM(R199:R209)</f>
        <v>43200000</v>
      </c>
      <c r="T211" s="215" t="s">
        <v>4736</v>
      </c>
      <c r="U211" s="215">
        <v>28066</v>
      </c>
      <c r="V211" s="113">
        <v>237.56970000000001</v>
      </c>
      <c r="W211" s="113">
        <f t="shared" si="41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43"/>
        <v>49500000</v>
      </c>
      <c r="AN211" s="20"/>
      <c r="AR211" t="s">
        <v>25</v>
      </c>
    </row>
    <row r="212" spans="16:45">
      <c r="P212" s="99"/>
      <c r="Q212" s="99"/>
      <c r="R212" s="99" t="s">
        <v>6</v>
      </c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88</v>
      </c>
      <c r="AM212" s="149">
        <f t="shared" ref="AM212:AM215" si="46">AJ212*AL212</f>
        <v>26400000</v>
      </c>
      <c r="AN212" s="149"/>
      <c r="AQ212" t="s">
        <v>25</v>
      </c>
    </row>
    <row r="213" spans="16:45" ht="30">
      <c r="T213" s="215" t="s">
        <v>3684</v>
      </c>
      <c r="U213" s="215">
        <v>37457</v>
      </c>
      <c r="V213" s="113">
        <v>239.77</v>
      </c>
      <c r="W213" s="113">
        <f t="shared" si="41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88</v>
      </c>
      <c r="AM213" s="121">
        <f t="shared" si="46"/>
        <v>25426368</v>
      </c>
      <c r="AN213" s="207" t="s">
        <v>4738</v>
      </c>
    </row>
    <row r="214" spans="16:45">
      <c r="Q214" s="96"/>
      <c r="R214" s="96" t="s">
        <v>25</v>
      </c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85</v>
      </c>
      <c r="AM214" s="121">
        <f t="shared" si="46"/>
        <v>1526811735</v>
      </c>
      <c r="AN214" s="121" t="s">
        <v>4743</v>
      </c>
    </row>
    <row r="215" spans="16:45">
      <c r="Q215" s="96"/>
      <c r="R215" s="96"/>
      <c r="T215" s="215" t="s">
        <v>4749</v>
      </c>
      <c r="U215" s="215">
        <v>38412</v>
      </c>
      <c r="V215" s="113">
        <v>239.03</v>
      </c>
      <c r="W215" s="113">
        <f t="shared" si="41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84</v>
      </c>
      <c r="AM215" s="121">
        <f t="shared" si="46"/>
        <v>1542534924</v>
      </c>
      <c r="AN215" s="121" t="s">
        <v>4743</v>
      </c>
    </row>
    <row r="216" spans="16:45"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83</v>
      </c>
      <c r="AM216" s="121">
        <f t="shared" ref="AM216:AM219" si="47">AJ216*AL216</f>
        <v>1960660611</v>
      </c>
      <c r="AN216" s="121" t="s">
        <v>4755</v>
      </c>
      <c r="AS216" t="s">
        <v>25</v>
      </c>
    </row>
    <row r="217" spans="16:45">
      <c r="Q217" s="99" t="s">
        <v>751</v>
      </c>
      <c r="R217" s="99"/>
      <c r="T217" s="215" t="s">
        <v>4756</v>
      </c>
      <c r="U217" s="215">
        <v>49555</v>
      </c>
      <c r="V217" s="113">
        <v>238.345</v>
      </c>
      <c r="W217" s="113">
        <f t="shared" si="41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78</v>
      </c>
      <c r="AM217" s="121">
        <f t="shared" si="47"/>
        <v>6434696424</v>
      </c>
      <c r="AN217" s="121" t="s">
        <v>4774</v>
      </c>
    </row>
    <row r="218" spans="16:45">
      <c r="Q218" s="99" t="s">
        <v>4444</v>
      </c>
      <c r="R218" s="95">
        <v>172908000</v>
      </c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77</v>
      </c>
      <c r="AM218" s="121">
        <f t="shared" si="47"/>
        <v>5748632197</v>
      </c>
      <c r="AN218" s="121" t="s">
        <v>4781</v>
      </c>
    </row>
    <row r="219" spans="16:45">
      <c r="Q219" s="99" t="s">
        <v>4485</v>
      </c>
      <c r="R219" s="95">
        <v>1400000</v>
      </c>
      <c r="T219" s="215" t="s">
        <v>4773</v>
      </c>
      <c r="U219" s="215">
        <v>160187</v>
      </c>
      <c r="V219" s="113">
        <v>257.49799999999999</v>
      </c>
      <c r="W219" s="113">
        <f t="shared" si="41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61</v>
      </c>
      <c r="AM219" s="20">
        <f t="shared" si="47"/>
        <v>40565000</v>
      </c>
      <c r="AN219" s="99"/>
    </row>
    <row r="220" spans="16:45">
      <c r="Q220" s="99" t="s">
        <v>4232</v>
      </c>
      <c r="R220" s="95">
        <v>247393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61</v>
      </c>
      <c r="AM220" s="196">
        <f t="shared" ref="AM220:AM221" si="48">AJ220*AL220</f>
        <v>40565000</v>
      </c>
      <c r="AN220" s="196"/>
    </row>
    <row r="221" spans="16:45">
      <c r="Q221" s="99" t="s">
        <v>4231</v>
      </c>
      <c r="R221" s="95">
        <v>6780000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41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57</v>
      </c>
      <c r="AM221" s="20">
        <f t="shared" si="48"/>
        <v>114000000</v>
      </c>
      <c r="AN221" s="99"/>
    </row>
    <row r="222" spans="16:45">
      <c r="Q222" s="99" t="s">
        <v>4595</v>
      </c>
      <c r="R222" s="95">
        <v>-4000000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56</v>
      </c>
      <c r="AM222" s="20">
        <f t="shared" ref="AM222:AM227" si="49">AJ222*AL222</f>
        <v>-115400600</v>
      </c>
      <c r="AN222" s="99" t="s">
        <v>4885</v>
      </c>
    </row>
    <row r="223" spans="16:45">
      <c r="Q223" s="99" t="s">
        <v>4627</v>
      </c>
      <c r="R223" s="95">
        <v>16727037</v>
      </c>
      <c r="T223" s="168" t="s">
        <v>4791</v>
      </c>
      <c r="U223" s="168">
        <v>196500</v>
      </c>
      <c r="V223" s="113">
        <v>254.452</v>
      </c>
      <c r="W223" s="113">
        <f t="shared" si="41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56</v>
      </c>
      <c r="AM223" s="149">
        <f t="shared" si="49"/>
        <v>-24269000</v>
      </c>
      <c r="AN223" s="149" t="s">
        <v>4886</v>
      </c>
    </row>
    <row r="224" spans="16:45">
      <c r="Q224" s="99" t="s">
        <v>4633</v>
      </c>
      <c r="R224" s="95">
        <v>46460683</v>
      </c>
      <c r="T224" s="215" t="s">
        <v>4791</v>
      </c>
      <c r="U224" s="215">
        <v>2561</v>
      </c>
      <c r="V224" s="113">
        <v>254.536</v>
      </c>
      <c r="W224" s="113">
        <f t="shared" si="41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56</v>
      </c>
      <c r="AM224" s="20">
        <f t="shared" si="49"/>
        <v>1568000000</v>
      </c>
      <c r="AN224" s="99" t="s">
        <v>3891</v>
      </c>
    </row>
    <row r="225" spans="17:44">
      <c r="Q225" s="99" t="s">
        <v>4636</v>
      </c>
      <c r="R225" s="95">
        <v>19663646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41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55</v>
      </c>
      <c r="AM225" s="20">
        <f t="shared" si="49"/>
        <v>8800000</v>
      </c>
      <c r="AN225" s="99"/>
    </row>
    <row r="226" spans="17:44">
      <c r="Q226" s="99" t="s">
        <v>4663</v>
      </c>
      <c r="R226" s="95">
        <v>4374525</v>
      </c>
      <c r="T226" s="215" t="s">
        <v>4848</v>
      </c>
      <c r="U226" s="215">
        <v>11795</v>
      </c>
      <c r="V226" s="113">
        <v>254.334</v>
      </c>
      <c r="W226" s="113">
        <f t="shared" si="41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55</v>
      </c>
      <c r="AM226" s="149">
        <f t="shared" si="49"/>
        <v>3850000</v>
      </c>
      <c r="AN226" s="149"/>
    </row>
    <row r="227" spans="17:44">
      <c r="Q227" s="99" t="s">
        <v>4678</v>
      </c>
      <c r="R227" s="95">
        <v>6550580</v>
      </c>
      <c r="T227" s="215" t="s">
        <v>4865</v>
      </c>
      <c r="U227" s="215">
        <v>260</v>
      </c>
      <c r="V227" s="113">
        <v>263.19</v>
      </c>
      <c r="W227" s="113">
        <f t="shared" si="41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46</v>
      </c>
      <c r="AM227" s="20">
        <f t="shared" si="49"/>
        <v>39100000</v>
      </c>
      <c r="AN227" s="99"/>
    </row>
    <row r="228" spans="17:44">
      <c r="Q228" s="99" t="s">
        <v>4681</v>
      </c>
      <c r="R228" s="95">
        <v>6650895</v>
      </c>
      <c r="T228" s="215" t="s">
        <v>4879</v>
      </c>
      <c r="U228" s="215">
        <v>15257</v>
      </c>
      <c r="V228" s="113">
        <v>262.19018</v>
      </c>
      <c r="W228" s="113">
        <f t="shared" si="41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46</v>
      </c>
      <c r="AM228" s="196">
        <f t="shared" ref="AM228:AM249" si="51">AJ228*AL228</f>
        <v>920000</v>
      </c>
      <c r="AN228" s="196"/>
      <c r="AQ228" t="s">
        <v>25</v>
      </c>
    </row>
    <row r="229" spans="17:44">
      <c r="Q229" s="99" t="s">
        <v>4709</v>
      </c>
      <c r="R229" s="95">
        <v>2145814</v>
      </c>
      <c r="T229" s="215" t="s">
        <v>4879</v>
      </c>
      <c r="U229" s="215">
        <v>8444</v>
      </c>
      <c r="V229" s="113">
        <v>266.43029999999999</v>
      </c>
      <c r="W229" s="113">
        <f t="shared" si="41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42</v>
      </c>
      <c r="AM229" s="196">
        <f t="shared" si="51"/>
        <v>1260000000</v>
      </c>
      <c r="AN229" s="196" t="s">
        <v>4922</v>
      </c>
    </row>
    <row r="230" spans="17:44">
      <c r="Q230" s="99" t="s">
        <v>4722</v>
      </c>
      <c r="R230" s="95">
        <v>4369730</v>
      </c>
      <c r="T230" s="215" t="s">
        <v>4884</v>
      </c>
      <c r="U230" s="215">
        <v>-6209</v>
      </c>
      <c r="V230" s="113">
        <v>273.79649999999998</v>
      </c>
      <c r="W230" s="113">
        <f t="shared" si="41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15</v>
      </c>
      <c r="AM230" s="20">
        <f t="shared" si="51"/>
        <v>16500000</v>
      </c>
      <c r="AN230" s="20"/>
    </row>
    <row r="231" spans="17:44">
      <c r="Q231" s="99" t="s">
        <v>4726</v>
      </c>
      <c r="R231" s="95">
        <v>8739459</v>
      </c>
      <c r="T231" s="215" t="s">
        <v>4884</v>
      </c>
      <c r="U231" s="215">
        <v>-8014</v>
      </c>
      <c r="V231" s="113">
        <v>273.79649999999998</v>
      </c>
      <c r="W231" s="113">
        <f t="shared" si="41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14</v>
      </c>
      <c r="AM231" s="20">
        <f t="shared" si="51"/>
        <v>6300000</v>
      </c>
      <c r="AN231" s="20"/>
    </row>
    <row r="232" spans="17:44">
      <c r="Q232" s="99" t="s">
        <v>4736</v>
      </c>
      <c r="R232" s="95">
        <v>6667654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41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14</v>
      </c>
      <c r="AM232" s="149">
        <f t="shared" si="51"/>
        <v>7700000</v>
      </c>
      <c r="AN232" s="149"/>
    </row>
    <row r="233" spans="17:44">
      <c r="Q233" s="99" t="s">
        <v>4744</v>
      </c>
      <c r="R233" s="95">
        <v>8981245</v>
      </c>
      <c r="T233" s="215" t="s">
        <v>4894</v>
      </c>
      <c r="U233" s="215">
        <v>1087</v>
      </c>
      <c r="V233" s="113">
        <v>273.79649999999998</v>
      </c>
      <c r="W233" s="113">
        <f t="shared" si="41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13</v>
      </c>
      <c r="AM233" s="149">
        <f t="shared" si="51"/>
        <v>13000000</v>
      </c>
      <c r="AN233" s="149"/>
    </row>
    <row r="234" spans="17:44">
      <c r="Q234" s="99" t="s">
        <v>4749</v>
      </c>
      <c r="R234" s="95">
        <v>9181756</v>
      </c>
      <c r="T234" s="215" t="s">
        <v>981</v>
      </c>
      <c r="U234" s="215">
        <v>-4017</v>
      </c>
      <c r="V234" s="113">
        <v>273.79649999999998</v>
      </c>
      <c r="W234" s="113">
        <f t="shared" si="41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5</v>
      </c>
      <c r="AM234" s="20">
        <f t="shared" si="51"/>
        <v>-13344400</v>
      </c>
      <c r="AN234" s="20" t="s">
        <v>5034</v>
      </c>
    </row>
    <row r="235" spans="17:44">
      <c r="Q235" s="99" t="s">
        <v>4756</v>
      </c>
      <c r="R235" s="95">
        <v>11811208</v>
      </c>
      <c r="T235" s="215" t="s">
        <v>981</v>
      </c>
      <c r="U235" s="215">
        <v>4017</v>
      </c>
      <c r="V235" s="113">
        <v>273.79649999999998</v>
      </c>
      <c r="W235" s="113">
        <f t="shared" si="41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5</v>
      </c>
      <c r="AM235" s="149">
        <f t="shared" si="51"/>
        <v>-7643100</v>
      </c>
      <c r="AN235" s="149" t="s">
        <v>5034</v>
      </c>
    </row>
    <row r="236" spans="17:44">
      <c r="Q236" s="99" t="s">
        <v>4773</v>
      </c>
      <c r="R236" s="95">
        <v>41248054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41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5</v>
      </c>
      <c r="AM236" s="20">
        <f t="shared" si="51"/>
        <v>250000000</v>
      </c>
      <c r="AN236" s="20"/>
      <c r="AR236" t="s">
        <v>25</v>
      </c>
    </row>
    <row r="237" spans="17:44">
      <c r="Q237" s="99" t="s">
        <v>4782</v>
      </c>
      <c r="R237" s="95">
        <v>37328780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41"/>
        <v>29999874.727419998</v>
      </c>
      <c r="X237" s="99" t="s">
        <v>1087</v>
      </c>
      <c r="AH237" s="20">
        <v>56</v>
      </c>
      <c r="AI237" s="20" t="s">
        <v>5040</v>
      </c>
      <c r="AJ237" s="117">
        <v>400000</v>
      </c>
      <c r="AK237" s="20">
        <v>1</v>
      </c>
      <c r="AL237" s="20">
        <f>AK237+AL247</f>
        <v>1</v>
      </c>
      <c r="AM237" s="20">
        <f t="shared" si="51"/>
        <v>400000</v>
      </c>
      <c r="AN237" s="20"/>
      <c r="AR237" t="s">
        <v>25</v>
      </c>
    </row>
    <row r="238" spans="17:44">
      <c r="Q238" s="99" t="s">
        <v>4884</v>
      </c>
      <c r="R238" s="95">
        <v>-2194100</v>
      </c>
      <c r="T238" s="215" t="s">
        <v>4932</v>
      </c>
      <c r="U238" s="215">
        <v>3407</v>
      </c>
      <c r="V238" s="113">
        <v>293.43799999999999</v>
      </c>
      <c r="W238" s="113">
        <f t="shared" si="41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4933</v>
      </c>
      <c r="R239" s="95">
        <v>20193916</v>
      </c>
      <c r="T239" s="215" t="s">
        <v>4933</v>
      </c>
      <c r="U239" s="215">
        <v>68796</v>
      </c>
      <c r="V239" s="113">
        <v>293.53250000000003</v>
      </c>
      <c r="W239" s="113">
        <f t="shared" si="41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5020</v>
      </c>
      <c r="R240" s="95">
        <v>-2000000</v>
      </c>
      <c r="T240" s="215" t="s">
        <v>4933</v>
      </c>
      <c r="U240" s="215">
        <v>154791</v>
      </c>
      <c r="V240" s="113">
        <v>293.53250000000003</v>
      </c>
      <c r="W240" s="113">
        <f t="shared" si="41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/>
      <c r="R241" s="95"/>
      <c r="T241" s="215" t="s">
        <v>4933</v>
      </c>
      <c r="U241" s="215">
        <v>-11923</v>
      </c>
      <c r="V241" s="113">
        <v>293.53250000000003</v>
      </c>
      <c r="W241" s="113">
        <f t="shared" si="41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>
        <f>SUM(R218:R241)</f>
        <v>424236275</v>
      </c>
      <c r="T242" s="215" t="s">
        <v>4952</v>
      </c>
      <c r="U242" s="215">
        <v>8424</v>
      </c>
      <c r="V242" s="113">
        <v>299.15170000000001</v>
      </c>
      <c r="W242" s="113">
        <f t="shared" si="41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9" t="s">
        <v>6</v>
      </c>
      <c r="T243" s="215" t="s">
        <v>4991</v>
      </c>
      <c r="U243" s="215">
        <v>15943</v>
      </c>
      <c r="V243" s="113">
        <v>307.34415000000001</v>
      </c>
      <c r="W243" s="113">
        <f t="shared" si="41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T244" s="215" t="s">
        <v>5014</v>
      </c>
      <c r="U244" s="215">
        <v>3741</v>
      </c>
      <c r="V244" s="113">
        <v>307.34415000000001</v>
      </c>
      <c r="W244" s="113">
        <f t="shared" si="41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41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452</v>
      </c>
      <c r="R246" s="99"/>
      <c r="T246" s="215" t="s">
        <v>5020</v>
      </c>
      <c r="U246" s="215">
        <v>6207</v>
      </c>
      <c r="V246" s="113">
        <v>322.214</v>
      </c>
      <c r="W246" s="113">
        <f t="shared" si="41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4444</v>
      </c>
      <c r="R247" s="95">
        <v>63115000</v>
      </c>
      <c r="T247" s="215" t="s">
        <v>4963</v>
      </c>
      <c r="U247" s="215">
        <v>776</v>
      </c>
      <c r="V247" s="113">
        <v>322.214</v>
      </c>
      <c r="W247" s="113">
        <f t="shared" si="41"/>
        <v>250038.06400000001</v>
      </c>
      <c r="X247" s="99" t="s">
        <v>452</v>
      </c>
      <c r="AH247" s="20"/>
      <c r="AI247" s="20"/>
      <c r="AJ247" s="117"/>
      <c r="AK247" s="20"/>
      <c r="AL247" s="20">
        <f t="shared" si="50"/>
        <v>0</v>
      </c>
      <c r="AM247" s="20">
        <f t="shared" si="51"/>
        <v>0</v>
      </c>
      <c r="AN247" s="20"/>
    </row>
    <row r="248" spans="17:43">
      <c r="Q248" s="99" t="s">
        <v>4498</v>
      </c>
      <c r="R248" s="95">
        <v>13300000</v>
      </c>
      <c r="T248" s="168"/>
      <c r="U248" s="168"/>
      <c r="V248" s="113"/>
      <c r="W248" s="113"/>
      <c r="X248" s="99"/>
      <c r="AH248" s="99"/>
      <c r="AI248" s="99"/>
      <c r="AJ248" s="117"/>
      <c r="AK248" s="99"/>
      <c r="AL248" s="99">
        <f t="shared" si="50"/>
        <v>0</v>
      </c>
      <c r="AM248" s="20">
        <f t="shared" si="51"/>
        <v>0</v>
      </c>
      <c r="AN248" s="99"/>
    </row>
    <row r="249" spans="17:43">
      <c r="Q249" s="99" t="s">
        <v>4506</v>
      </c>
      <c r="R249" s="95">
        <v>2269000</v>
      </c>
      <c r="T249" s="168"/>
      <c r="U249" s="168">
        <f>SUM(U181:U248)</f>
        <v>3557670</v>
      </c>
      <c r="V249" s="99"/>
      <c r="W249" s="99"/>
      <c r="X249" s="99"/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4623</v>
      </c>
      <c r="R250" s="95">
        <v>25071612</v>
      </c>
      <c r="T250" s="99"/>
      <c r="U250" s="99" t="s">
        <v>6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4633</v>
      </c>
      <c r="R251" s="95">
        <v>42236984</v>
      </c>
      <c r="T251" s="201" t="s">
        <v>4488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4636</v>
      </c>
      <c r="R252" s="95">
        <v>19663646</v>
      </c>
      <c r="T252" s="200">
        <f>R191/U249</f>
        <v>309.3184233501139</v>
      </c>
    </row>
    <row r="253" spans="17:43">
      <c r="Q253" s="99" t="s">
        <v>4663</v>
      </c>
      <c r="R253" s="95">
        <v>4374525</v>
      </c>
      <c r="W253" s="114"/>
      <c r="AI253" t="s">
        <v>4061</v>
      </c>
      <c r="AJ253" s="114">
        <f>AJ250+AN250</f>
        <v>370266762.84558266</v>
      </c>
    </row>
    <row r="254" spans="17:43">
      <c r="Q254" s="99" t="s">
        <v>4678</v>
      </c>
      <c r="R254" s="95">
        <v>6550580</v>
      </c>
      <c r="U254" s="96" t="s">
        <v>267</v>
      </c>
      <c r="V254" t="s">
        <v>4489</v>
      </c>
      <c r="X254" t="s">
        <v>25</v>
      </c>
      <c r="AI254" t="s">
        <v>4064</v>
      </c>
      <c r="AJ254" s="114">
        <f>SUM(N20:N30)</f>
        <v>419689687.39999998</v>
      </c>
    </row>
    <row r="255" spans="17:43">
      <c r="Q255" s="99" t="s">
        <v>4681</v>
      </c>
      <c r="R255" s="95">
        <v>7054895</v>
      </c>
      <c r="T255" s="114"/>
      <c r="U255" s="113">
        <v>250000</v>
      </c>
      <c r="V255">
        <f>U255/T252</f>
        <v>808.22861209604685</v>
      </c>
      <c r="X255" t="s">
        <v>25</v>
      </c>
      <c r="AI255" t="s">
        <v>4136</v>
      </c>
      <c r="AJ255" s="114">
        <f>AJ254-AJ250</f>
        <v>63870089.399999976</v>
      </c>
    </row>
    <row r="256" spans="17:43">
      <c r="Q256" s="99" t="s">
        <v>4709</v>
      </c>
      <c r="R256" s="95">
        <v>2145814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4722</v>
      </c>
      <c r="R257" s="95">
        <v>4369730</v>
      </c>
      <c r="W257" s="225"/>
      <c r="X257" s="96" t="s">
        <v>25</v>
      </c>
      <c r="AI257" t="s">
        <v>4065</v>
      </c>
      <c r="AJ257" s="114">
        <f>AJ255-AJ256</f>
        <v>49422924.554417297</v>
      </c>
      <c r="AN257" t="s">
        <v>25</v>
      </c>
    </row>
    <row r="258" spans="17:40">
      <c r="Q258" s="99" t="s">
        <v>4726</v>
      </c>
      <c r="R258" s="95">
        <v>8739459</v>
      </c>
      <c r="AN258" t="s">
        <v>25</v>
      </c>
    </row>
    <row r="259" spans="17:40">
      <c r="Q259" s="99" t="s">
        <v>4736</v>
      </c>
      <c r="R259" s="95">
        <v>6667654</v>
      </c>
    </row>
    <row r="260" spans="17:40" ht="60">
      <c r="Q260" s="99" t="s">
        <v>3684</v>
      </c>
      <c r="R260" s="95">
        <v>8981245</v>
      </c>
      <c r="T260" s="22" t="s">
        <v>4472</v>
      </c>
      <c r="V260" s="225"/>
    </row>
    <row r="261" spans="17:40" ht="45">
      <c r="Q261" s="99" t="s">
        <v>4749</v>
      </c>
      <c r="R261" s="95">
        <v>9181756</v>
      </c>
      <c r="T261" s="22" t="s">
        <v>4473</v>
      </c>
      <c r="AN261" t="s">
        <v>25</v>
      </c>
    </row>
    <row r="262" spans="17:40">
      <c r="Q262" s="99" t="s">
        <v>4756</v>
      </c>
      <c r="R262" s="95">
        <v>11811208</v>
      </c>
    </row>
    <row r="263" spans="17:40">
      <c r="Q263" s="99" t="s">
        <v>4773</v>
      </c>
      <c r="R263" s="95">
        <v>41248054</v>
      </c>
    </row>
    <row r="264" spans="17:40">
      <c r="Q264" s="99" t="s">
        <v>4782</v>
      </c>
      <c r="R264" s="95">
        <v>37328780</v>
      </c>
      <c r="T264" s="99" t="s">
        <v>4490</v>
      </c>
      <c r="U264" s="99" t="s">
        <v>4461</v>
      </c>
      <c r="V264" s="99" t="s">
        <v>953</v>
      </c>
    </row>
    <row r="265" spans="17:40">
      <c r="Q265" s="99" t="s">
        <v>4791</v>
      </c>
      <c r="R265" s="95">
        <v>50000000</v>
      </c>
      <c r="T265" s="95">
        <f>R211+R242+R281</f>
        <v>889399220</v>
      </c>
      <c r="U265" s="95">
        <f>R191</f>
        <v>1100452875.1999998</v>
      </c>
      <c r="V265" s="95">
        <f>U265-T265</f>
        <v>211053655.19999981</v>
      </c>
    </row>
    <row r="266" spans="17:40">
      <c r="Q266" s="99" t="s">
        <v>4865</v>
      </c>
      <c r="R266" s="95">
        <v>68656</v>
      </c>
    </row>
    <row r="267" spans="17:40">
      <c r="Q267" s="99" t="s">
        <v>4879</v>
      </c>
      <c r="R267" s="95">
        <v>4000236</v>
      </c>
      <c r="Y267" t="s">
        <v>25</v>
      </c>
    </row>
    <row r="268" spans="17:40">
      <c r="Q268" s="99" t="s">
        <v>4879</v>
      </c>
      <c r="R268" s="95">
        <v>2250000</v>
      </c>
    </row>
    <row r="269" spans="17:40">
      <c r="Q269" s="99" t="s">
        <v>4884</v>
      </c>
      <c r="R269" s="95">
        <v>-2512200</v>
      </c>
    </row>
    <row r="270" spans="17:40">
      <c r="Q270" s="99" t="s">
        <v>4894</v>
      </c>
      <c r="R270" s="95">
        <v>300000</v>
      </c>
      <c r="T270" t="s">
        <v>25</v>
      </c>
    </row>
    <row r="271" spans="17:40">
      <c r="Q271" s="99" t="s">
        <v>981</v>
      </c>
      <c r="R271" s="95">
        <v>1100000</v>
      </c>
      <c r="T271" t="s">
        <v>25</v>
      </c>
    </row>
    <row r="272" spans="17:40">
      <c r="Q272" s="99" t="s">
        <v>4907</v>
      </c>
      <c r="R272" s="95">
        <v>890000</v>
      </c>
    </row>
    <row r="273" spans="17:20">
      <c r="Q273" s="99" t="s">
        <v>4932</v>
      </c>
      <c r="R273" s="95">
        <v>1000000</v>
      </c>
      <c r="T273" t="s">
        <v>25</v>
      </c>
    </row>
    <row r="274" spans="17:20">
      <c r="Q274" s="99" t="s">
        <v>4933</v>
      </c>
      <c r="R274" s="95">
        <v>45436311</v>
      </c>
      <c r="T274" t="s">
        <v>25</v>
      </c>
    </row>
    <row r="275" spans="17:20">
      <c r="Q275" s="99" t="s">
        <v>4933</v>
      </c>
      <c r="R275" s="95">
        <v>-3500000</v>
      </c>
    </row>
    <row r="276" spans="17:20">
      <c r="Q276" s="99" t="s">
        <v>4952</v>
      </c>
      <c r="R276" s="95">
        <v>2520000</v>
      </c>
    </row>
    <row r="277" spans="17:20">
      <c r="Q277" s="99" t="s">
        <v>4991</v>
      </c>
      <c r="R277" s="95">
        <v>4900000</v>
      </c>
      <c r="T277" t="s">
        <v>25</v>
      </c>
    </row>
    <row r="278" spans="17:20">
      <c r="Q278" s="99" t="s">
        <v>5014</v>
      </c>
      <c r="R278" s="95">
        <v>1150000</v>
      </c>
      <c r="T278" t="s">
        <v>25</v>
      </c>
    </row>
    <row r="279" spans="17:20">
      <c r="Q279" s="99" t="s">
        <v>4963</v>
      </c>
      <c r="R279" s="95">
        <v>250000</v>
      </c>
    </row>
    <row r="280" spans="17:20">
      <c r="Q280" s="99"/>
      <c r="R280" s="95"/>
      <c r="T280" t="s">
        <v>25</v>
      </c>
    </row>
    <row r="281" spans="17:20">
      <c r="Q281" s="99"/>
      <c r="R281" s="95">
        <f>SUM(R247:R280)</f>
        <v>421962945</v>
      </c>
      <c r="T281" t="s">
        <v>25</v>
      </c>
    </row>
    <row r="282" spans="17:20">
      <c r="Q282" s="99"/>
      <c r="R282" s="99" t="s">
        <v>6</v>
      </c>
    </row>
    <row r="285" spans="17:20">
      <c r="T285" t="s">
        <v>25</v>
      </c>
    </row>
    <row r="286" spans="17:20">
      <c r="T286" t="s">
        <v>25</v>
      </c>
    </row>
    <row r="296" spans="16:16">
      <c r="P296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I86" zoomScale="90" zoomScaleNormal="90" workbookViewId="0">
      <selection activeCell="M116" sqref="M116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215"/>
      <c r="J116" s="113">
        <f t="shared" si="19"/>
        <v>-673546379</v>
      </c>
      <c r="K116" s="215"/>
      <c r="L116" s="84"/>
      <c r="M116" s="84"/>
      <c r="N116" s="113">
        <f t="shared" si="27"/>
        <v>0</v>
      </c>
      <c r="O116" s="113">
        <f t="shared" si="28"/>
        <v>-385390359</v>
      </c>
      <c r="P116" s="113">
        <f t="shared" si="29"/>
        <v>-1058936738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2019-05-14T10:10:24Z</dcterms:modified>
</cp:coreProperties>
</file>