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H120" i="18" l="1"/>
  <c r="AH116" i="18"/>
  <c r="Q48" i="18"/>
  <c r="S44" i="18"/>
  <c r="S43" i="18"/>
  <c r="AA28" i="18"/>
  <c r="AB28" i="18" s="1"/>
  <c r="AJ114" i="18"/>
  <c r="AJ113" i="18" s="1"/>
  <c r="Q53" i="18"/>
  <c r="P21" i="18"/>
  <c r="N21" i="18" s="1"/>
  <c r="S21" i="18"/>
  <c r="S22" i="18" s="1"/>
  <c r="S23" i="18" s="1"/>
  <c r="S24" i="18" s="1"/>
  <c r="S25" i="18" s="1"/>
  <c r="S26" i="18" s="1"/>
  <c r="S27" i="18" s="1"/>
  <c r="AK113" i="18" l="1"/>
  <c r="AJ112" i="18"/>
  <c r="P20" i="18"/>
  <c r="N20" i="18" s="1"/>
  <c r="N43" i="18"/>
  <c r="AK112" i="18" l="1"/>
  <c r="AJ111" i="18"/>
  <c r="P25" i="18"/>
  <c r="N25" i="18" s="1"/>
  <c r="AK111" i="18" l="1"/>
  <c r="AJ110" i="18"/>
  <c r="AA27" i="18"/>
  <c r="AB27" i="18" s="1"/>
  <c r="P23" i="18"/>
  <c r="N42" i="18"/>
  <c r="AJ109" i="18" l="1"/>
  <c r="AK110" i="18"/>
  <c r="R53" i="18"/>
  <c r="AK109" i="18" l="1"/>
  <c r="AJ108" i="18"/>
  <c r="D55" i="50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08" i="18" l="1"/>
  <c r="AJ107" i="18"/>
  <c r="AA24" i="18"/>
  <c r="AB24" i="18" s="1"/>
  <c r="N45" i="18"/>
  <c r="AA26" i="18"/>
  <c r="AB26" i="18" s="1"/>
  <c r="D73" i="48"/>
  <c r="N44" i="18"/>
  <c r="AA25" i="18"/>
  <c r="AB25" i="18" s="1"/>
  <c r="P24" i="18"/>
  <c r="N24" i="18" s="1"/>
  <c r="N23" i="18"/>
  <c r="AK107" i="18" l="1"/>
  <c r="AJ106" i="18"/>
  <c r="AB31" i="18"/>
  <c r="N32" i="18"/>
  <c r="AJ105" i="18" l="1"/>
  <c r="AK106" i="18"/>
  <c r="C8" i="36"/>
  <c r="P50" i="18"/>
  <c r="AJ104" i="18" l="1"/>
  <c r="AK105" i="18"/>
  <c r="T16" i="49"/>
  <c r="AJ103" i="18" l="1"/>
  <c r="AK104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AJ102" i="18" l="1"/>
  <c r="AK103" i="18"/>
  <c r="K22" i="33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J101" i="18" l="1"/>
  <c r="AK102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Q30" i="18" l="1"/>
  <c r="AH121" i="18"/>
  <c r="AJ100" i="18"/>
  <c r="AK100" i="18" s="1"/>
  <c r="AK101" i="18"/>
  <c r="Q20" i="49"/>
  <c r="P20" i="49" s="1"/>
  <c r="S18" i="49"/>
  <c r="R18" i="49" s="1"/>
  <c r="U19" i="49"/>
  <c r="T19" i="49" s="1"/>
  <c r="S40" i="18"/>
  <c r="S41" i="18" s="1"/>
  <c r="S42" i="18" s="1"/>
  <c r="S45" i="18" s="1"/>
  <c r="S46" i="18" s="1"/>
  <c r="AK116" i="18" l="1"/>
  <c r="AL116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H122" i="18" l="1"/>
  <c r="AH123" i="18" s="1"/>
  <c r="AH119" i="18"/>
  <c r="Q22" i="49"/>
  <c r="P22" i="49"/>
  <c r="U21" i="49"/>
  <c r="T21" i="49" s="1"/>
  <c r="S22" i="49"/>
  <c r="R22" i="49" s="1"/>
  <c r="P39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30" i="18"/>
  <c r="K226" i="20" l="1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25" i="20" l="1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8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50" i="18"/>
  <c r="AJ76" i="18" l="1"/>
  <c r="AK77" i="18"/>
  <c r="AJ75" i="18" l="1"/>
  <c r="AK76" i="18"/>
  <c r="N38" i="18"/>
  <c r="AH89" i="18" l="1"/>
  <c r="AH90" i="18" s="1"/>
  <c r="AJ74" i="18"/>
  <c r="AK75" i="18"/>
  <c r="AJ73" i="18" l="1"/>
  <c r="AK74" i="18"/>
  <c r="U5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J20" i="18" s="1"/>
  <c r="AK22" i="18"/>
  <c r="E175" i="13"/>
  <c r="G176" i="13"/>
  <c r="F241" i="15"/>
  <c r="D240" i="15"/>
  <c r="D164" i="20"/>
  <c r="AK21" i="18" l="1"/>
  <c r="AK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<sst xmlns="http://schemas.openxmlformats.org/spreadsheetml/2006/main" count="9262" uniqueCount="4381">
  <si>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</si>
  <si>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</si>
  <si>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</si>
  <si>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</si>
  <si>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</si>
  <si>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</si>
  <si>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</si>
  <si>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</si>
  <si>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</si>
  <si>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</si>
  <si>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</si>
  <si>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</si>
  <si>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</si>
  <si>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</si>
  <si>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</si>
  <si>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</si>
  <si>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</si>
  <si>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</si>
  <si>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</si>
  <si>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</si>
  <si>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</si>
  <si>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</si>
  <si>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</si>
  <si>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</si>
  <si>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</si>
  <si>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</si>
  <si>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</si>
  <si>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</si>
  <si>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</si>
  <si>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</si>
  <si>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</si>
  <si>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</si>
  <si>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</si>
  <si>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</si>
  <si>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</si>
  <si>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</si>
  <si>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</si>
  <si>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</si>
  <si>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</si>
  <si>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</si>
  <si>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</si>
  <si>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</si>
  <si>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</si>
  <si>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</si>
  <si>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</si>
  <si>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</si>
  <si>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</si>
  <si>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</si>
  <si>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</si>
  <si>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</si>
  <si>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</si>
  <si>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</si>
  <si>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</si>
  <si>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</si>
  <si>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</si>
  <si>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</si>
  <si>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</si>
  <si>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</si>
  <si>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</si>
  <si>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</si>
  <si>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</si>
  <si>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</si>
  <si>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</si>
  <si>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</si>
  <si>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</si>
  <si>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</si>
  <si>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</si>
  <si>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</si>
  <si>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</si>
  <si>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</si>
  <si>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</si>
  <si>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</si>
  <si>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</si>
  <si>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</si>
  <si>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</si>
  <si>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</si>
  <si>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</si>
  <si>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</si>
  <si>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</si>
  <si>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</si>
  <si>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</si>
  <si>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</si>
  <si>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</si>
  <si>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</si>
  <si>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</si>
  <si>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</si>
  <si>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</si>
  <si>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</si>
  <si>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</si>
  <si>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</si>
  <si>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</si>
  <si>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</si>
  <si>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</si>
  <si>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</si>
  <si>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</si>
  <si>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</si>
  <si>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</si>
  <si>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</si>
  <si>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</si>
  <si>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</si>
  <si>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</si>
  <si>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</si>
  <si>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</si>
  <si>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</si>
  <si>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</si>
  <si>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</si>
  <si>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</si>
  <si>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</si>
  <si>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</si>
  <si>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</si>
  <si>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</si>
  <si>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</si>
  <si>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</si>
  <si>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</si>
  <si>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</si>
  <si>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</si>
  <si>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</si>
  <si>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</si>
  <si>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</si>
  <si>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</si>
  <si>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</si>
  <si>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</si>
  <si>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</si>
  <si>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</si>
  <si>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</si>
  <si>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</si>
  <si>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</si>
  <si>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</si>
  <si>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</si>
  <si>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</si>
  <si>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</si>
  <si>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</si>
  <si>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</si>
  <si>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</si>
  <si>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</si>
  <si>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</si>
  <si>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</si>
  <si>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</si>
  <si>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</si>
  <si>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</si>
  <si>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</si>
  <si>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</si>
  <si>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</si>
  <si>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</si>
  <si>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</si>
  <si>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</si>
  <si>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</si>
  <si>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</si>
  <si>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</si>
  <si>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</si>
  <si>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</si>
  <si>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</si>
  <si>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</si>
  <si>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</si>
  <si>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</si>
  <si>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</si>
  <si>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</si>
  <si>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</si>
  <si>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</si>
  <si>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</si>
  <si>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</si>
  <si>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</si>
  <si>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</si>
  <si>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</si>
  <si>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</si>
  <si>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</si>
  <si>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</si>
  <si>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</si>
  <si>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</si>
  <si>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</si>
  <si>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</si>
  <si>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</si>
  <si>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</si>
  <si>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</si>
  <si>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</si>
  <si>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</si>
  <si>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</si>
  <si>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</si>
  <si>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</si>
  <si>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</si>
  <si>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</si>
  <si>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</si>
  <si>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</si>
  <si>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</si>
  <si>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</si>
  <si>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</si>
  <si>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</si>
  <si>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</si>
  <si>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</si>
  <si>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</si>
  <si>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</si>
  <si>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</si>
  <si>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</si>
  <si>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</si>
  <si>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</si>
  <si>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</si>
  <si>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</si>
  <si>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</si>
  <si>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</si>
  <si>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</si>
  <si>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</si>
  <si>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</si>
  <si>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</si>
  <si>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</si>
  <si>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</si>
  <si>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</si>
  <si>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</si>
  <si>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</si>
  <si>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</si>
  <si>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</si>
  <si>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</si>
  <si>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</si>
  <si>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</si>
  <si>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</si>
  <si>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</si>
  <si>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</si>
  <si>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</si>
  <si>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</si>
  <si>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</si>
  <si>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</si>
  <si>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</si>
  <si>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</si>
  <si>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</si>
  <si>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</si>
  <si>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</si>
  <si>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</si>
  <si>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</si>
  <si>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</si>
  <si>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</si>
  <si>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</si>
  <si>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</si>
  <si>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</si>
  <si>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</si>
  <si>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</si>
  <si>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</si>
  <si>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</si>
  <si>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</si>
  <si>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</si>
  <si>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</si>
  <si>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</si>
  <si>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</si>
  <si>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</si>
  <si>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</si>
  <si>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</si>
  <si>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</si>
  <si>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</si>
  <si>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</si>
  <si>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</si>
  <si>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</si>
  <si>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</si>
  <si>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</si>
  <si>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</si>
  <si>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</si>
  <si>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</si>
  <si>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</si>
  <si>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</si>
  <si>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</si>
  <si>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</si>
  <si>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</si>
  <si>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</si>
  <si>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</si>
  <si>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</si>
  <si>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</si>
  <si>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</si>
  <si>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</si>
  <si>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</si>
  <si>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</si>
  <si>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</si>
  <si>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</si>
  <si>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</si>
  <si>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</si>
  <si>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</si>
  <si>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</si>
  <si>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</si>
  <si>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</si>
  <si>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</si>
  <si>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</si>
  <si>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</si>
  <si>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</si>
  <si>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</si>
  <si>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</si>
  <si>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</si>
  <si>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</si>
  <si>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</si>
  <si>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</si>
  <si>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</si>
  <si>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</si>
  <si>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</si>
  <si>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</si>
  <si>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</si>
  <si>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</si>
  <si>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</si>
  <si>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</si>
  <si>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</si>
  <si>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</si>
  <si>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</si>
  <si>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</si>
  <si>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</si>
  <si>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</si>
  <si>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</si>
  <si>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</si>
  <si>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</si>
  <si>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</si>
  <si>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</si>
  <si>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</si>
  <si>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</si>
  <si>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</si>
  <si>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</si>
  <si>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</si>
  <si>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</si>
  <si>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</si>
  <si>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</si>
  <si>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</si>
  <si>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</si>
  <si>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</si>
  <si>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</si>
  <si>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</si>
  <si>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</si>
  <si>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</si>
  <si>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</si>
  <si>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</si>
  <si>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</si>
  <si>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</si>
  <si>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</si>
  <si>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</si>
  <si>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</si>
  <si>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</si>
  <si>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</si>
  <si>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</si>
  <si>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</si>
  <si>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</si>
  <si>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</si>
  <si>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</si>
  <si>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</si>
  <si>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</si>
  <si>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</si>
  <si>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</si>
  <si>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</si>
  <si>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</si>
  <si>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</si>
  <si>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</si>
  <si>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</si>
  <si>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</si>
  <si>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</si>
  <si>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</si>
  <si>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</si>
  <si>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</si>
  <si>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</si>
  <si>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</si>
  <si>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</si>
  <si>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</si>
  <si>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</si>
  <si>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</si>
  <si>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</si>
  <si>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</si>
  <si>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</si>
  <si>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</si>
  <si>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</si>
  <si>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</si>
  <si>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</si>
  <si>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</si>
  <si>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</si>
  <si>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</si>
  <si>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</si>
  <si>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</si>
  <si>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</si>
  <si>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</si>
  <si>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</si>
  <si>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</si>
  <si>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</si>
  <si>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</si>
  <si>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</si>
  <si>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</si>
  <si>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</si>
  <si>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</si>
  <si>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</si>
  <si>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</si>
  <si>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</si>
  <si>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</si>
  <si>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</si>
  <si>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</si>
  <si>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</si>
  <si>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</si>
  <si>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</si>
  <si>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</si>
  <si>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</si>
  <si>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</si>
  <si>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</si>
  <si>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</si>
  <si>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</si>
  <si>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</si>
  <si>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</si>
  <si>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</si>
  <si>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</si>
  <si>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</si>
  <si>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</si>
  <si>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</si>
  <si>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</si>
  <si>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</si>
  <si>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</si>
  <si>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</si>
  <si>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</si>
  <si>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</si>
  <si>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</si>
  <si>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</si>
  <si>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</si>
  <si>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</si>
  <si>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</si>
  <si>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</si>
  <si>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</si>
  <si>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</si>
  <si>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</si>
  <si>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</si>
  <si>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</si>
  <si>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</si>
  <si>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</si>
  <si>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</si>
  <si>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</si>
  <si>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</si>
  <si>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</si>
  <si>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</si>
  <si>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</si>
  <si>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</si>
  <si>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</si>
  <si>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</si>
  <si>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</si>
  <si>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</si>
  <si>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</si>
  <si>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</si>
  <si>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</si>
  <si>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</si>
  <si>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</si>
  <si>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</si>
  <si>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</si>
  <si>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</si>
  <si>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</si>
  <si>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</si>
  <si>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</si>
  <si>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</si>
  <si>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</si>
  <si>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</si>
  <si>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</si>
  <si>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</si>
  <si>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</si>
  <si>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</si>
  <si>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</si>
  <si>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</si>
  <si>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</si>
  <si>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</si>
  <si>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</si>
  <si>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</si>
  <si>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</si>
  <si>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</si>
  <si>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</si>
  <si>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</si>
  <si>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</si>
  <si>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</si>
  <si>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</si>
  <si>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</si>
  <si>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</si>
  <si>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</si>
  <si>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</si>
  <si>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</si>
  <si>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</si>
  <si>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</si>
  <si>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</si>
  <si>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</si>
  <si>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</si>
  <si>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</si>
  <si>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</si>
  <si>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</si>
  <si>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</si>
  <si>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</si>
  <si>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</si>
  <si>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</si>
  <si>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</si>
  <si>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</si>
  <si>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</si>
  <si>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</si>
  <si>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</si>
  <si>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</si>
  <si>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</si>
  <si>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</si>
  <si>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</si>
  <si>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</si>
  <si>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</si>
  <si>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</si>
  <si>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</si>
  <si>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</si>
  <si>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</si>
  <si>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</si>
  <si>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</si>
  <si>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</si>
  <si>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</si>
  <si>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</si>
  <si>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</si>
  <si>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</si>
  <si>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</si>
  <si>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</si>
  <si>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</si>
  <si>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</si>
  <si>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</si>
  <si>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</si>
  <si>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</si>
  <si>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</si>
  <si>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</si>
  <si>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</si>
  <si>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</si>
  <si>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</si>
  <si>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</si>
  <si>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</si>
  <si>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</si>
  <si>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</si>
  <si>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</si>
  <si>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</si>
  <si>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</si>
  <si>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</si>
  <si>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</si>
  <si>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</si>
  <si>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</si>
  <si>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</si>
  <si>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</si>
  <si>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</si>
  <si>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</si>
  <si>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</si>
  <si>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</si>
  <si>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</si>
  <si>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</si>
  <si>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</si>
  <si>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</si>
  <si>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</si>
  <si>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</si>
  <si>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</si>
  <si>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</si>
  <si>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</si>
  <si>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</si>
  <si>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</si>
  <si>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</si>
  <si>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</si>
  <si>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</si>
  <si>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</si>
  <si>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</si>
  <si>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</si>
  <si>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</si>
  <si>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</si>
  <si>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</si>
  <si>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</si>
  <si>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</si>
  <si>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</si>
  <si>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</si>
  <si>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</si>
  <si>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</si>
  <si>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</si>
  <si>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</si>
  <si>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</si>
  <si>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</si>
  <si>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</si>
  <si>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</si>
  <si>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</si>
  <si>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</si>
  <si>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</si>
  <si>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</si>
  <si>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</si>
  <si>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</si>
  <si>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</si>
  <si>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</si>
  <si>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</si>
  <si>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</si>
  <si>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</si>
  <si>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</si>
  <si>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</si>
  <si>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</si>
  <si>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</si>
  <si>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</si>
  <si>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</si>
  <si>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</si>
  <si>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</si>
  <si>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</si>
  <si>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</si>
  <si>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</si>
  <si>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</si>
  <si>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</si>
  <si>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</si>
  <si>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</si>
  <si>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</si>
  <si>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</si>
  <si>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</si>
  <si>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</si>
  <si>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</si>
  <si>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</si>
  <si>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</si>
  <si>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</si>
  <si>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</si>
  <si>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</si>
  <si>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</si>
  <si>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</si>
  <si>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</si>
  <si>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</si>
  <si>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</si>
  <si>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</si>
  <si>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</si>
  <si>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</si>
  <si>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</si>
  <si>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</si>
  <si>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</si>
  <si>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</si>
  <si>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</si>
  <si>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</si>
  <si>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</si>
  <si>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</si>
  <si>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</si>
  <si>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</si>
  <si>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</si>
  <si>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</si>
  <si>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</si>
  <si>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</si>
  <si>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</si>
  <si>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</si>
  <si>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</si>
  <si>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</si>
  <si>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</si>
  <si>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</si>
  <si>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</si>
  <si>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</si>
  <si>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</si>
  <si>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</si>
  <si>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</si>
  <si>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</si>
  <si>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</si>
  <si>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</si>
  <si>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</si>
  <si>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</si>
  <si>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</si>
  <si>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</si>
  <si>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</si>
  <si>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</si>
  <si>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</si>
  <si>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</si>
  <si>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</si>
  <si>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</si>
  <si>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</si>
  <si>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</si>
  <si>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</si>
  <si>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</si>
  <si>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</si>
  <si>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</si>
  <si>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</si>
  <si>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</si>
  <si>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</si>
  <si>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</si>
  <si>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</si>
  <si>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</si>
  <si>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</si>
  <si>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</si>
  <si>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</si>
  <si>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</si>
  <si>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</si>
  <si>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</si>
  <si>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</si>
  <si>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</si>
  <si>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</si>
  <si>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</si>
  <si>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</si>
  <si>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</si>
  <si>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</si>
  <si>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</si>
  <si>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</si>
  <si>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</si>
  <si>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</si>
  <si>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</si>
  <si>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</si>
  <si>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</si>
  <si>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</si>
  <si>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</si>
  <si>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</si>
  <si>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</si>
  <si>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</si>
  <si>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</si>
  <si>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</si>
  <si>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</si>
  <si>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</si>
  <si>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</si>
  <si>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</si>
  <si>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</si>
  <si>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</si>
  <si>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</si>
  <si>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</si>
  <si>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</si>
  <si>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</si>
  <si>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</si>
  <si>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</si>
  <si>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</si>
  <si>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</si>
  <si>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</si>
  <si>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</si>
  <si>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</si>
  <si>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</si>
  <si>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</si>
  <si>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</si>
  <si>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</si>
  <si>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</si>
  <si>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</si>
  <si>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</si>
  <si>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</si>
  <si>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</si>
  <si>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</si>
  <si>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</si>
  <si>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</si>
  <si>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</si>
  <si>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</si>
  <si>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</si>
  <si>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</si>
  <si>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</si>
  <si>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</si>
  <si>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</si>
  <si>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</si>
  <si>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</si>
  <si>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</si>
  <si>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</si>
  <si>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</si>
  <si>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</si>
  <si>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</si>
  <si>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</si>
  <si>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</si>
  <si>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</si>
  <si>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</si>
  <si>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</si>
  <si>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</si>
  <si>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</si>
  <si>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</si>
  <si>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</si>
  <si>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</si>
  <si>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</si>
  <si>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</si>
  <si>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</si>
  <si>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</si>
  <si>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</si>
  <si>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</si>
  <si>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</si>
  <si>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</si>
  <si>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</si>
  <si>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</si>
  <si>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</si>
  <si>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</si>
  <si>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</si>
  <si>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</si>
  <si>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</si>
  <si>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</si>
  <si>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</si>
  <si>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</si>
  <si>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</si>
  <si>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</si>
  <si>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</si>
  <si>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</si>
  <si>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</si>
  <si>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</si>
  <si>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</si>
  <si>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</si>
  <si>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</si>
  <si>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</si>
  <si>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</si>
  <si>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</si>
  <si>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</si>
  <si>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</si>
  <si>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</si>
  <si>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</si>
  <si>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</si>
  <si>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</si>
  <si>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</si>
  <si>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</si>
  <si>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</si>
  <si>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</si>
  <si>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</si>
  <si>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</si>
  <si>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</si>
  <si>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</si>
  <si>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</si>
  <si>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</si>
  <si>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</si>
  <si>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</si>
  <si>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</si>
  <si>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</si>
  <si>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</si>
  <si>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</si>
  <si>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</si>
  <si>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</si>
  <si>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</si>
  <si>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</si>
  <si>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</si>
  <si>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</si>
  <si>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</si>
  <si>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</si>
  <si>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</si>
  <si>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</si>
  <si>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</si>
  <si>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</si>
  <si>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</si>
  <si>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</si>
  <si>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</si>
  <si>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</si>
  <si>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</si>
  <si>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</si>
  <si>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</si>
  <si>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</si>
  <si>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</si>
  <si>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</si>
  <si>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</si>
  <si>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</si>
  <si>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</si>
  <si>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</si>
  <si>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</si>
  <si>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</si>
  <si>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</si>
  <si>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</si>
  <si>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</si>
  <si>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</si>
  <si>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</si>
  <si>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</si>
  <si>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</si>
  <si>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</si>
  <si>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</si>
  <si>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</si>
  <si>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</si>
  <si>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</si>
  <si>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</si>
  <si>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</si>
  <si>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</si>
  <si>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</si>
  <si>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</si>
  <si>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</si>
  <si>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</si>
  <si>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</si>
  <si>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</si>
  <si>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</si>
  <si>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</si>
  <si>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</si>
  <si>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</si>
  <si>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</si>
  <si>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</si>
  <si>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</si>
  <si>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</si>
  <si>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</si>
  <si>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</si>
  <si>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</si>
  <si>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</si>
  <si>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</si>
  <si>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</si>
  <si>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</si>
  <si>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</si>
  <si>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</si>
  <si>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</si>
  <si>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</si>
  <si>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</si>
  <si>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</si>
  <si>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</si>
  <si>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</si>
  <si>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</si>
  <si>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</si>
  <si>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</si>
  <si>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</si>
  <si>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</si>
  <si>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</si>
  <si>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</si>
  <si>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</si>
  <si>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</si>
  <si>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</si>
  <si>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</si>
  <si>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</si>
  <si>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</si>
  <si>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</si>
  <si>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</si>
  <si>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</si>
  <si>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</si>
  <si>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</si>
  <si>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</si>
  <si>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</si>
  <si>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</si>
  <si>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</si>
  <si>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</si>
  <si>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</si>
  <si>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</si>
  <si>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</si>
  <si>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</si>
  <si>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</si>
  <si>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</si>
  <si>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</si>
  <si>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</si>
  <si>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</si>
  <si>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</si>
  <si>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</si>
  <si>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</si>
  <si>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</si>
  <si>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</si>
  <si>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</si>
  <si>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</si>
  <si>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</si>
  <si>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</si>
  <si>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</si>
  <si>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</si>
  <si>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</si>
  <si>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</si>
  <si>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</si>
  <si>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</si>
  <si>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</si>
  <si>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</si>
  <si>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</si>
  <si>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</si>
  <si>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</si>
  <si>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</si>
  <si>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</si>
  <si>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</si>
  <si>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</si>
  <si>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</si>
  <si>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</si>
  <si>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</si>
  <si>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</si>
  <si>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</si>
  <si>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</si>
  <si>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</si>
  <si>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</si>
  <si>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</si>
  <si>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</si>
  <si>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</si>
  <si>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</si>
  <si>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</si>
  <si>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</si>
  <si>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</si>
  <si>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</si>
  <si>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</si>
  <si>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</si>
  <si>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</si>
  <si>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</si>
  <si>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</si>
  <si>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</si>
  <si>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</si>
  <si>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</si>
  <si>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</si>
  <si>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</si>
  <si>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</si>
  <si>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</si>
  <si>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</si>
  <si>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</si>
  <si>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</si>
  <si>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</si>
  <si>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</si>
  <si>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</si>
  <si>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</si>
  <si>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</si>
  <si>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</si>
  <si>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</si>
  <si>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</si>
  <si>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</si>
  <si>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</si>
  <si>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</si>
  <si>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</si>
  <si>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</si>
  <si>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</si>
  <si>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</si>
  <si>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</si>
  <si>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</si>
  <si>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</si>
  <si>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</si>
  <si>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</si>
  <si>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</si>
  <si>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</si>
  <si>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</si>
  <si>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</si>
  <si>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</si>
  <si>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</si>
  <si>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</si>
  <si>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</si>
  <si>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</si>
  <si>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</si>
  <si>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</si>
  <si>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</si>
  <si>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</si>
  <si>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</si>
  <si>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</si>
  <si>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</si>
  <si>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</si>
  <si>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</si>
  <si>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</si>
  <si>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</si>
  <si>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</si>
  <si>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</si>
  <si>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</si>
  <si>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</si>
  <si>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</si>
  <si>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</si>
  <si>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</si>
  <si>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</si>
  <si>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</si>
  <si>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</si>
  <si>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</si>
  <si>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</si>
  <si>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</si>
  <si>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</si>
  <si>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</si>
  <si>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</si>
  <si>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</si>
  <si>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</si>
  <si>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</si>
  <si>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</si>
  <si>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</si>
  <si>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</si>
  <si>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</si>
  <si>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</si>
  <si>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</si>
  <si>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</si>
  <si>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</si>
  <si>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</si>
  <si>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</si>
  <si>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</si>
  <si>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</si>
  <si>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</si>
  <si>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</si>
  <si>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</si>
  <si>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</si>
  <si>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</si>
  <si>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</si>
  <si>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</si>
  <si>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</si>
  <si>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</si>
  <si>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</si>
  <si>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</si>
  <si>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</si>
  <si>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</si>
  <si>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</si>
  <si>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</si>
  <si>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</si>
  <si>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</si>
  <si>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</si>
  <si>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</si>
  <si>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</si>
  <si>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</si>
  <si>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</si>
  <si>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</si>
  <si>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</si>
  <si>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</si>
  <si>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</si>
  <si>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</si>
  <si>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</si>
  <si>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</si>
  <si>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</si>
  <si>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</si>
  <si>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</si>
  <si>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</si>
  <si>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</si>
  <si>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</si>
  <si>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</si>
  <si>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</si>
  <si>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</si>
  <si>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</si>
  <si>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</si>
  <si>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</si>
  <si>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</si>
  <si>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</si>
  <si>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</si>
  <si>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</si>
  <si>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</si>
  <si>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</si>
  <si>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</si>
  <si>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</si>
  <si>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</si>
  <si>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</si>
  <si>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</si>
  <si>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</si>
  <si>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</si>
  <si>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</si>
  <si>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</si>
  <si>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</si>
  <si>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</si>
  <si>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</si>
  <si>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</si>
  <si>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</si>
  <si>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</si>
  <si>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</si>
  <si>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</si>
  <si>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</si>
  <si>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</si>
  <si>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</si>
  <si>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</si>
  <si>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</si>
  <si>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</si>
  <si>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</si>
  <si>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</si>
  <si>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</si>
  <si>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</si>
  <si>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</si>
  <si>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</si>
  <si>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</si>
  <si>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</si>
  <si>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</si>
  <si>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</si>
  <si>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</si>
  <si>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</si>
  <si>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</si>
  <si>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</si>
  <si>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</si>
  <si>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</si>
  <si>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</si>
  <si>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</si>
  <si>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</si>
  <si>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</si>
  <si>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</si>
  <si>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</si>
  <si>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</si>
  <si>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</si>
  <si>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</si>
  <si>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</si>
  <si>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</si>
  <si>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</si>
  <si>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</si>
  <si>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</si>
  <si>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</si>
  <si>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</si>
  <si>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</si>
  <si>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</si>
  <si>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</si>
  <si>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</si>
  <si>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</si>
  <si>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</si>
  <si>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</si>
  <si>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</si>
  <si>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</si>
  <si>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</si>
  <si>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</si>
  <si>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</si>
  <si>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</si>
  <si>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</si>
  <si>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</si>
  <si>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</si>
  <si>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</si>
  <si>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</si>
  <si>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</si>
  <si>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</si>
  <si>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</si>
  <si>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</si>
  <si>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</si>
  <si>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</si>
  <si>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</si>
  <si>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</si>
  <si>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</si>
  <si>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</si>
  <si>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</si>
  <si>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</si>
  <si>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</si>
  <si>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</si>
  <si>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</si>
  <si>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</si>
  <si>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</si>
  <si>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</si>
  <si>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</si>
  <si>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</si>
  <si>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</si>
  <si>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</si>
  <si>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</si>
  <si>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</si>
  <si>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</si>
  <si>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</si>
  <si>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</si>
  <si>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</si>
  <si>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</si>
  <si>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</si>
  <si>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</si>
  <si>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</si>
  <si>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</si>
  <si>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</si>
  <si>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</si>
  <si>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</si>
  <si>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</si>
  <si>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</si>
  <si>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</si>
  <si>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</si>
  <si>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</si>
  <si>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</si>
  <si>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</si>
  <si>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</si>
  <si>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</si>
  <si>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</si>
  <si>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</si>
  <si>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</si>
  <si>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</si>
  <si>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</si>
  <si>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</si>
  <si>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</si>
  <si>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</si>
  <si>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</si>
  <si>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</si>
  <si>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</si>
  <si>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</si>
  <si>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</si>
  <si>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</si>
  <si>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</si>
  <si>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</si>
  <si>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</si>
  <si>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</si>
  <si>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</si>
  <si>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</si>
  <si>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</si>
  <si>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</si>
  <si>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</si>
  <si>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</si>
  <si>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</si>
  <si>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</si>
  <si>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</si>
  <si>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</si>
  <si>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</si>
  <si>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</si>
  <si>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</si>
  <si>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</si>
  <si>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</si>
  <si>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</si>
  <si>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</si>
  <si>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</si>
  <si>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</si>
  <si>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</si>
  <si>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</si>
  <si>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</si>
  <si>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</si>
  <si>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</si>
  <si>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</si>
  <si>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</si>
  <si>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</si>
  <si>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</si>
  <si>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</si>
  <si>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</si>
  <si>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</si>
  <si>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</si>
  <si>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</si>
  <si>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</si>
  <si>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</si>
  <si>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</si>
  <si>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</si>
  <si>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</si>
  <si>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</si>
  <si>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</si>
  <si>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</si>
  <si>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</si>
  <si>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</si>
  <si>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</si>
  <si>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</si>
  <si>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</si>
  <si>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</si>
  <si>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</si>
  <si>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</si>
  <si>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</si>
  <si>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</si>
  <si>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</si>
  <si>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</si>
  <si>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</si>
  <si>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</si>
  <si>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</si>
  <si>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</si>
  <si>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</si>
  <si>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</si>
  <si>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</si>
  <si>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</si>
  <si>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</si>
  <si>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</si>
  <si>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</si>
  <si>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</si>
  <si>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</si>
  <si>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</si>
  <si>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</si>
  <si>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</si>
  <si>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</si>
  <si>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</si>
  <si>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</si>
  <si>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</si>
  <si>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</si>
  <si>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</si>
  <si>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</si>
  <si>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</si>
  <si>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</si>
  <si>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</si>
  <si>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</si>
  <si>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</si>
  <si>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</si>
  <si>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</si>
  <si>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</si>
  <si>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</si>
  <si>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</si>
  <si>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</si>
  <si>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</si>
  <si>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</si>
  <si>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</si>
  <si>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</si>
  <si>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</si>
  <si>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</si>
  <si>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</si>
  <si>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</si>
  <si>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</si>
  <si>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</si>
  <si>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</si>
  <si>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</si>
  <si>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</si>
  <si>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</si>
  <si>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</si>
  <si>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</si>
  <si>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</si>
  <si>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</si>
  <si>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</si>
  <si>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</si>
  <si>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</si>
  <si>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</si>
  <si>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</si>
  <si>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</si>
  <si>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</si>
  <si>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</si>
  <si>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</si>
  <si>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</si>
  <si>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</si>
  <si>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</si>
  <si>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</si>
  <si>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</si>
  <si>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</si>
  <si>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</si>
  <si>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</si>
  <si>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</si>
  <si>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</si>
  <si>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</si>
  <si>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</si>
  <si>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</si>
  <si>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</si>
  <si>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</si>
  <si>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</si>
  <si>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</si>
  <si>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</si>
  <si>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</si>
  <si>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</si>
  <si>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</si>
  <si>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</si>
  <si>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</si>
  <si>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</si>
  <si>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</si>
  <si>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</si>
  <si>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</si>
  <si>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</si>
  <si>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</si>
  <si>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</si>
  <si>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</si>
  <si>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</si>
  <si>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</si>
  <si>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</si>
  <si>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</si>
  <si>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</si>
  <si>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</si>
  <si>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</si>
  <si>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</si>
  <si>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</si>
  <si>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</si>
  <si>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</si>
  <si>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</si>
  <si>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</si>
  <si>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</si>
  <si>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</si>
  <si>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</si>
  <si>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</si>
  <si>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</si>
  <si>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</si>
  <si>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</si>
  <si>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</si>
  <si>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</si>
  <si>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</si>
  <si>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</si>
  <si>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</si>
  <si>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</si>
  <si>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</si>
  <si>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</si>
  <si>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</si>
  <si>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</si>
  <si>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</si>
  <si>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</si>
  <si>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</si>
  <si>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</si>
  <si>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</si>
  <si>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</si>
  <si>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</si>
  <si>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</si>
  <si>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</si>
  <si>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</si>
  <si>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</si>
  <si>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</si>
  <si>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</si>
  <si>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</si>
  <si>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</si>
  <si>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</si>
  <si>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</si>
  <si>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</si>
  <si>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</si>
  <si>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</si>
  <si>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</si>
  <si>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</si>
  <si>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</si>
  <si>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</si>
  <si>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</si>
  <si>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</si>
  <si>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</si>
  <si>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</si>
  <si>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</si>
  <si>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</si>
  <si>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</si>
  <si>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</si>
  <si>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</si>
  <si>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</si>
  <si>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</si>
  <si>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</si>
  <si>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</si>
  <si>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</si>
  <si>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</si>
  <si>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</si>
  <si>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</si>
  <si>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</si>
  <si>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</si>
  <si>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</si>
  <si>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</si>
  <si>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</si>
  <si>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</si>
  <si>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</si>
  <si>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</si>
  <si>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</si>
  <si>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</si>
  <si>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</si>
  <si>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</si>
  <si>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</si>
  <si>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</si>
  <si>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</si>
  <si>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</si>
  <si>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</si>
  <si>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</si>
  <si>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</si>
  <si>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</si>
  <si>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</si>
  <si>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</si>
  <si>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</si>
  <si>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</si>
  <si>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</si>
  <si>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</si>
  <si>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</si>
  <si>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</si>
  <si>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</si>
  <si>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</si>
  <si>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</si>
  <si>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</si>
  <si>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</si>
  <si>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</si>
  <si>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</si>
  <si>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</si>
  <si>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</si>
  <si>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</si>
  <si>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</si>
  <si>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</si>
  <si>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</si>
  <si>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</si>
  <si>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</si>
  <si>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</si>
  <si>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</si>
  <si>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</si>
  <si>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</si>
  <si>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</si>
  <si>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</si>
  <si>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</si>
  <si>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</si>
  <si>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</si>
  <si>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</si>
  <si>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</si>
  <si>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</si>
  <si>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</si>
  <si>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</si>
  <si>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</si>
  <si>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</si>
  <si>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</si>
  <si>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</si>
  <si>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</si>
  <si>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</si>
  <si>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</si>
  <si>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</si>
  <si>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</si>
  <si>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</si>
  <si>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</si>
  <si>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</si>
  <si>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</si>
  <si>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</si>
  <si>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</si>
  <si>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</si>
  <si>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</si>
  <si>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</si>
  <si>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</si>
  <si>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</si>
  <si>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</si>
  <si>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</si>
  <si>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</si>
  <si>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</si>
  <si>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</si>
  <si>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</si>
  <si>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</si>
  <si>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</si>
  <si>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</si>
  <si>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</si>
  <si>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</si>
  <si>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</si>
  <si>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</si>
  <si>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</si>
  <si>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</si>
  <si>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</si>
  <si>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</si>
  <si>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</si>
  <si>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</si>
  <si>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</si>
  <si>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</si>
  <si>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</si>
  <si>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</si>
  <si>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</si>
  <si>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</si>
  <si>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</si>
  <si>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</si>
  <si>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</si>
  <si>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</si>
  <si>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</si>
  <si>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</si>
  <si>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</si>
  <si>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</si>
  <si>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</si>
  <si>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</si>
  <si>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</si>
  <si>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</si>
  <si>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</si>
  <si>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</si>
  <si>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</si>
  <si>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</si>
  <si>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</si>
  <si>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</si>
  <si>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</si>
  <si>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</si>
  <si>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</si>
  <si>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</si>
  <si>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</si>
  <si>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</si>
  <si>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</si>
  <si>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</si>
  <si>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</si>
  <si>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</si>
  <si>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</si>
  <si>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</si>
  <si>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</si>
  <si>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</si>
  <si>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</si>
  <si>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</si>
  <si>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</si>
  <si>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</si>
  <si>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</si>
  <si>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</si>
  <si>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</si>
  <si>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</si>
  <si>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</si>
  <si>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</si>
  <si>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</si>
  <si>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</si>
  <si>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</si>
  <si>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</si>
  <si>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</si>
  <si>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</si>
  <si>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</si>
  <si>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</si>
  <si>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</si>
  <si>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</si>
  <si>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</si>
  <si>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</si>
  <si>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</si>
  <si>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</si>
  <si>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</si>
  <si>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</si>
  <si>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</si>
  <si>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</si>
  <si>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</si>
  <si>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</si>
  <si>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</si>
  <si>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</si>
  <si>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</si>
  <si>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</si>
  <si>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</si>
  <si>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</si>
  <si>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</si>
  <si>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</si>
  <si>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</si>
  <si>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</si>
  <si>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</si>
  <si>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</si>
  <si>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</si>
  <si>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</si>
  <si>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</si>
  <si>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</si>
  <si>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</si>
  <si>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</si>
  <si>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</si>
  <si>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</si>
  <si>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</si>
  <si>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</si>
  <si>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</si>
  <si>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</si>
  <si>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</si>
  <si>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</si>
  <si>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</si>
  <si>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</si>
  <si>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</si>
  <si>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</si>
  <si>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</si>
  <si>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</si>
  <si>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</si>
  <si>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</si>
  <si>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</si>
  <si>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</si>
  <si>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</si>
  <si>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</si>
  <si>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</si>
  <si>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</si>
  <si>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</si>
  <si>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</si>
  <si>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</si>
  <si>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</si>
  <si>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</si>
  <si>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</si>
  <si>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</si>
  <si>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</si>
  <si>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</si>
  <si>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</si>
  <si>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</si>
  <si>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</si>
  <si>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</si>
  <si>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</si>
  <si>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</si>
  <si>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</si>
  <si>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</si>
  <si>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</si>
  <si>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</si>
  <si>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</si>
  <si>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</si>
  <si>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</si>
  <si>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</si>
  <si>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</si>
  <si>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</si>
  <si>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</si>
  <si>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</si>
  <si>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</si>
  <si>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</si>
  <si>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</si>
  <si>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</si>
  <si>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</si>
  <si>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</si>
  <si>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</si>
  <si>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</si>
  <si>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</si>
  <si>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</si>
  <si>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</si>
  <si>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</si>
  <si>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</si>
  <si>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</si>
  <si>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</si>
  <si>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</si>
  <si>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</si>
  <si>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</si>
  <si>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</si>
  <si>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</si>
  <si>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</si>
  <si>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</si>
  <si>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</si>
  <si>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</si>
  <si>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</si>
  <si>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</si>
  <si>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</si>
  <si>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</si>
  <si>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</si>
  <si>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</si>
  <si>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</si>
  <si>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</si>
  <si>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</si>
  <si>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</si>
  <si>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</si>
  <si>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</si>
  <si>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</si>
  <si>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</si>
  <si>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</si>
  <si>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</si>
  <si>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</si>
  <si>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</si>
  <si>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</si>
  <si>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</si>
  <si>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</si>
  <si>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</si>
  <si>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</si>
  <si>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</si>
  <si>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</si>
  <si>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</si>
  <si>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</si>
  <si>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</si>
  <si>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</si>
  <si>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</si>
  <si>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</si>
  <si>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</si>
  <si>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</si>
  <si>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</si>
  <si>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</si>
  <si>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</si>
  <si>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</si>
  <si>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</si>
  <si>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</si>
  <si>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</si>
  <si>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</si>
  <si>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</si>
  <si>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</si>
  <si>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</si>
  <si>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</si>
  <si>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</si>
  <si>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</si>
  <si>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</si>
  <si>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</si>
  <si>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</si>
  <si>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</si>
  <si>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</si>
  <si>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</si>
  <si>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</si>
  <si>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</si>
  <si>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</si>
  <si>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</si>
  <si>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</si>
  <si>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</si>
  <si>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</si>
  <si>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</si>
  <si>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</si>
  <si>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</si>
  <si>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</si>
  <si>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</si>
  <si>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</si>
  <si>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</si>
  <si>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</si>
  <si>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</si>
  <si>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</si>
  <si>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</si>
  <si>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</si>
  <si>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</si>
  <si>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</si>
  <si>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</si>
  <si>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</si>
  <si>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</si>
  <si>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</si>
  <si>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</si>
  <si>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</si>
  <si>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</si>
  <si>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</si>
  <si>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</si>
  <si>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</si>
  <si>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</si>
  <si>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</si>
  <si>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</si>
  <si>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</si>
  <si>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</si>
  <si>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</si>
  <si>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</si>
  <si>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</si>
  <si>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</si>
  <si>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</si>
  <si>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</si>
  <si>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</si>
  <si>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</si>
  <si>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</si>
  <si>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</si>
  <si>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</si>
  <si>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</si>
  <si>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</si>
  <si>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</si>
  <si>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</si>
  <si>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</si>
  <si>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</si>
  <si>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</si>
  <si>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</si>
  <si>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</si>
  <si>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</si>
  <si>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</si>
  <si>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</si>
  <si>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</si>
  <si>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</si>
  <si>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</si>
  <si>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</si>
  <si>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</si>
  <si>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</si>
  <si>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</si>
  <si>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</si>
  <si>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</si>
  <si>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</si>
  <si>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</si>
  <si>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</si>
  <si>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</si>
  <si>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</si>
  <si>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</si>
  <si>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</si>
  <si>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</si>
  <si>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</si>
  <si>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</si>
  <si>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</si>
  <si>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</si>
  <si>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</si>
  <si>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</si>
  <si>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</si>
  <si>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</si>
  <si>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</si>
  <si>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</si>
  <si>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</si>
  <si>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</si>
  <si>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</si>
  <si>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</si>
  <si>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</si>
  <si>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</si>
  <si>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</si>
  <si>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</si>
  <si>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</si>
  <si>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</si>
  <si>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</si>
  <si>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</si>
  <si>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</si>
  <si>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</si>
  <si>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</si>
  <si>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</si>
  <si>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</si>
  <si>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</si>
  <si>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</si>
  <si>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</si>
  <si>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</si>
  <si>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</si>
  <si>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</si>
  <si>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</si>
  <si>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</si>
  <si>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</si>
  <si>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</si>
  <si>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</si>
  <si>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</si>
  <si>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</si>
  <si>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</si>
  <si>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</si>
  <si>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</si>
  <si>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</si>
  <si>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</si>
  <si>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</si>
  <si>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</si>
  <si>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</si>
  <si>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</si>
  <si>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</si>
  <si>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</si>
  <si>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</si>
  <si>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</si>
  <si>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</si>
  <si>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</si>
  <si>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</si>
  <si>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</si>
  <si>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</si>
  <si>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</si>
  <si>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</si>
  <si>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</si>
  <si>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</si>
  <si>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</si>
  <si>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</si>
  <si>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</si>
  <si>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</si>
  <si>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</si>
  <si>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</si>
  <si>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</si>
  <si>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</si>
  <si>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</si>
  <si>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</si>
  <si>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</si>
  <si>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</si>
  <si>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</si>
  <si>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</si>
  <si>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</si>
  <si>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</si>
  <si>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</si>
  <si>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</si>
  <si>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</si>
  <si>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</si>
  <si>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</si>
  <si>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</si>
  <si>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</si>
  <si>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</si>
  <si>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</si>
  <si>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</si>
  <si>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</si>
  <si>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</si>
  <si>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</si>
  <si>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</si>
  <si>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</si>
  <si>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</si>
  <si>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</si>
  <si>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</si>
  <si>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</si>
  <si>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</si>
  <si>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</si>
  <si>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</si>
  <si>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</si>
  <si>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</si>
  <si>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</si>
  <si>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</si>
  <si>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</si>
  <si>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</si>
  <si>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</si>
  <si>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</si>
  <si>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</si>
  <si>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</si>
  <si>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</si>
  <si>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</si>
  <si>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</si>
  <si>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</si>
  <si>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</si>
  <si>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</si>
  <si>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</si>
  <si>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</si>
  <si>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</si>
  <si>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</si>
  <si>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</si>
  <si>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</si>
  <si>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</si>
  <si>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</si>
  <si>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</si>
  <si>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</si>
  <si>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</si>
  <si>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</si>
  <si>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</si>
  <si>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</si>
  <si>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</si>
  <si>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</si>
  <si>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</si>
  <si>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</si>
  <si>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</si>
  <si>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</si>
  <si>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</si>
  <si>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</si>
  <si>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</si>
  <si>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</si>
  <si>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</si>
  <si>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</si>
  <si>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</si>
  <si>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</si>
  <si>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</si>
  <si>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</si>
  <si>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</si>
  <si>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</si>
  <si>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</si>
  <si>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</si>
  <si>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</si>
  <si>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</si>
  <si>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</si>
  <si>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</si>
  <si>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</si>
  <si>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</si>
  <si>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</si>
  <si>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</si>
  <si>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</si>
  <si>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</si>
  <si>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</si>
  <si>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</si>
  <si>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</si>
  <si>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</si>
  <si>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</si>
  <si>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</si>
  <si>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</si>
  <si>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</si>
  <si>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</si>
  <si>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</si>
  <si>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</si>
  <si>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</si>
  <si>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</si>
  <si>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</si>
  <si>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</si>
  <si>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</si>
  <si>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</si>
  <si>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</si>
  <si>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</si>
  <si>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</si>
  <si>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</si>
  <si>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</si>
  <si>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</si>
  <si>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</si>
  <si>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</si>
  <si>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</si>
  <si>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</si>
  <si>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</si>
  <si>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</si>
  <si>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</si>
  <si>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</si>
  <si>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</si>
  <si>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</si>
  <si>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</si>
  <si>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</si>
  <si>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</si>
  <si>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</si>
  <si>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</si>
  <si>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</si>
  <si>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</si>
  <si>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</si>
  <si>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</si>
  <si>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</si>
  <si>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</si>
  <si>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</si>
  <si>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</si>
  <si>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</si>
  <si>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</si>
  <si>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</si>
  <si>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</si>
  <si>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</si>
  <si>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</si>
  <si>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</si>
  <si>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</si>
  <si>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</si>
  <si>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</si>
  <si>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</si>
  <si>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</si>
  <si>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</si>
  <si>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</si>
  <si>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</si>
  <si>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</si>
  <si>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</si>
  <si>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</si>
  <si>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</si>
  <si>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</si>
  <si>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</si>
  <si>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</si>
  <si>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</si>
  <si>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</si>
  <si>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</si>
  <si>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</si>
  <si>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</si>
  <si>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</si>
  <si>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</si>
  <si>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</si>
  <si>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</si>
  <si>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</si>
  <si>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</si>
  <si>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</si>
  <si>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</si>
  <si>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</si>
  <si>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</si>
  <si>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</si>
  <si>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</si>
  <si>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</si>
  <si>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</si>
  <si>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</si>
  <si>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</si>
  <si>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</si>
  <si>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</si>
  <si>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</si>
  <si>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</si>
  <si>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</si>
  <si>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</si>
  <si>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</si>
  <si>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</si>
  <si>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</si>
  <si>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</si>
  <si>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</si>
  <si>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</si>
  <si>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</si>
  <si>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</si>
  <si>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</si>
  <si>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</si>
  <si>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</si>
  <si>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</si>
  <si>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</si>
  <si>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</si>
  <si>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</si>
  <si>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</si>
  <si>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</si>
  <si>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</si>
  <si>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</si>
  <si>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</si>
  <si>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</si>
  <si>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</si>
  <si>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</si>
  <si>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</si>
  <si>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</si>
  <si>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</si>
  <si>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</si>
  <si>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</si>
  <si>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</si>
  <si>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</si>
  <si>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</si>
  <si>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</si>
  <si>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</si>
  <si>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</si>
  <si>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</si>
  <si>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</si>
  <si>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</si>
  <si>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</si>
  <si>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</si>
  <si>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</si>
  <si>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</si>
  <si>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</si>
  <si>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</si>
  <si>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</si>
  <si>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</si>
  <si>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</si>
  <si>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</si>
  <si>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</si>
  <si>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</si>
  <si>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</si>
  <si>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</si>
  <si>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</si>
  <si>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</si>
  <si>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</si>
  <si>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</si>
  <si>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</si>
  <si>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</si>
  <si>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</si>
  <si>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</si>
  <si>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</si>
  <si>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</si>
  <si>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</si>
  <si>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</si>
  <si>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</si>
  <si>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</si>
  <si>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</si>
  <si>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</si>
  <si>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</si>
  <si>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</si>
  <si>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</si>
  <si>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</si>
  <si>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</si>
  <si>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</si>
  <si>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</si>
  <si>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</si>
  <si>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</si>
  <si>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</si>
  <si>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</si>
  <si>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</si>
  <si>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</si>
  <si>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</si>
  <si>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</si>
  <si>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</si>
  <si>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</si>
  <si>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</si>
  <si>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</si>
  <si>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</si>
  <si>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</si>
  <si>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</si>
  <si>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</si>
  <si>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</si>
  <si>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</si>
  <si>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</si>
  <si>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</si>
  <si>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</si>
  <si>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</si>
  <si>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</si>
  <si>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</si>
  <si>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</si>
  <si>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</si>
  <si>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</si>
  <si>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</si>
  <si>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</si>
  <si>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</si>
  <si>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</si>
  <si>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</si>
  <si>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</si>
  <si>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</si>
  <si>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</si>
  <si>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</si>
  <si>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</si>
  <si>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</si>
  <si>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</si>
  <si>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</si>
  <si>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</si>
  <si>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</si>
  <si>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</si>
  <si>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</si>
  <si>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</si>
  <si>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</si>
  <si>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</si>
  <si>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</si>
  <si>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</si>
  <si>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</si>
  <si>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</si>
  <si>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</si>
  <si>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</si>
  <si>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</si>
  <si>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</si>
  <si>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</si>
  <si>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</si>
  <si>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</si>
  <si>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</si>
  <si>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</si>
  <si>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</si>
  <si>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</si>
  <si>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</si>
  <si>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</si>
  <si>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</si>
  <si>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</si>
  <si>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</si>
  <si>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</si>
  <si>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</si>
  <si>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</si>
  <si>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</si>
  <si>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</si>
  <si>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</si>
  <si>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</si>
  <si>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</si>
  <si>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</si>
  <si>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</si>
  <si>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</si>
  <si>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</si>
  <si>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</si>
  <si>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</si>
  <si>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</si>
  <si>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</si>
  <si>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</si>
  <si>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</si>
  <si>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</si>
  <si>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</si>
  <si>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</si>
  <si>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</si>
  <si>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</si>
  <si>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</si>
  <si>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</si>
  <si>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</si>
  <si>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</si>
  <si>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</si>
  <si>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</si>
  <si>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</si>
  <si>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</si>
  <si>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</si>
  <si>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</si>
  <si>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</si>
  <si>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</si>
  <si>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</si>
  <si>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</si>
  <si>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</si>
  <si>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</si>
  <si>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</si>
  <si>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</si>
  <si>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</si>
  <si>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</si>
  <si>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</si>
  <si>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</si>
  <si>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</si>
  <si>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</si>
  <si>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</si>
  <si>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</si>
  <si>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</si>
  <si>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</si>
  <si>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</si>
  <si>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</si>
  <si>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</si>
  <si>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</si>
  <si>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</si>
  <si>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</si>
  <si>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</si>
  <si>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</si>
  <si>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</si>
  <si>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</si>
  <si>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</si>
  <si>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</si>
  <si>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</si>
  <si>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</si>
  <si>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</si>
  <si>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</si>
  <si>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</si>
  <si>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</si>
  <si>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</si>
  <si>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</si>
  <si>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</si>
  <si>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</si>
  <si>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</si>
  <si>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</si>
  <si>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</si>
  <si>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</si>
  <si>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</si>
  <si>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</si>
  <si>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</si>
  <si>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</si>
  <si>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</si>
  <si>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</si>
  <si>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</si>
  <si>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</si>
  <si>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</si>
  <si>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</si>
  <si>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</si>
  <si>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</si>
  <si>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</si>
  <si>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</si>
  <si>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</si>
  <si>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</si>
  <si>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</si>
  <si>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</si>
  <si>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</si>
  <si>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</si>
  <si>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</si>
  <si>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</si>
  <si>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</si>
  <si>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</si>
  <si>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</si>
  <si>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</si>
  <si>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</si>
  <si>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</si>
  <si>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</si>
  <si>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</si>
  <si>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</si>
  <si>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</si>
  <si>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</si>
  <si>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</si>
  <si>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</si>
  <si>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</si>
  <si>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</si>
  <si>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</si>
  <si>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</si>
  <si>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</si>
  <si>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</si>
  <si>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</si>
  <si>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</si>
  <si>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</si>
  <si>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</si>
  <si>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</si>
  <si>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</si>
  <si>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</si>
  <si>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</si>
  <si>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</si>
  <si>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</si>
  <si>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</si>
  <si>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</si>
  <si>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</si>
  <si>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</si>
  <si>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</si>
  <si>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</si>
  <si>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</si>
  <si>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</si>
  <si>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</si>
  <si>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</si>
  <si>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</si>
  <si>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</si>
  <si>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</si>
  <si>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</si>
  <si>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</si>
  <si>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</si>
  <si>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</si>
  <si>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</si>
  <si>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</si>
  <si>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</si>
  <si>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</si>
  <si>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</si>
  <si>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</si>
  <si>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</si>
  <si>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</si>
  <si>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</si>
  <si>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</si>
  <si>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</si>
  <si>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</si>
  <si>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</si>
  <si>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</si>
  <si>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</si>
  <si>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</si>
  <si>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</si>
  <si>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</si>
  <si>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</si>
  <si>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</si>
  <si>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</si>
  <si>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</si>
  <si>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</si>
  <si>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</si>
  <si>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</si>
  <si>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</si>
  <si>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</si>
  <si>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</si>
  <si>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</si>
  <si>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</si>
  <si>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</si>
  <si>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</si>
  <si>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</si>
  <si>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</si>
  <si>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</si>
  <si>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</si>
  <si>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</si>
  <si>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</si>
  <si>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</si>
  <si>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</si>
  <si>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</si>
  <si>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</si>
  <si>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</si>
  <si>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</si>
  <si>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</si>
  <si>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</si>
  <si>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</si>
  <si>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</si>
  <si>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</si>
  <si>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</si>
  <si>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</si>
  <si>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</si>
  <si>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</si>
  <si>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</si>
  <si>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</si>
  <si>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</si>
  <si>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</si>
  <si>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</si>
  <si>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</si>
  <si>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</si>
  <si>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</si>
  <si>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</si>
  <si>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</si>
  <si>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</si>
  <si>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</si>
  <si>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</si>
  <si>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</si>
  <si>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</si>
  <si>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</si>
  <si>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</si>
  <si>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</si>
  <si>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</si>
  <si>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</si>
  <si>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</si>
  <si>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</si>
  <si>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</si>
  <si>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</si>
  <si>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</si>
  <si>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</si>
  <si>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</si>
  <si>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</si>
  <si>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</si>
  <si>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</si>
  <si>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</si>
  <si>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</si>
  <si>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</si>
  <si>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</si>
  <si>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</si>
  <si>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</si>
  <si>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</si>
  <si>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</si>
  <si>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</si>
  <si>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</si>
  <si>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</si>
  <si>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</si>
  <si>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</si>
  <si>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</si>
  <si>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</si>
  <si>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</si>
  <si>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</si>
  <si>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</si>
  <si>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</si>
  <si>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</si>
  <si>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</si>
  <si>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</si>
  <si>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</si>
  <si>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</si>
  <si>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</si>
  <si>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</si>
  <si>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</si>
  <si>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</si>
  <si>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</si>
  <si>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</si>
  <si>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</si>
  <si>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</si>
  <si>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</si>
  <si>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</si>
  <si>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</si>
  <si>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</si>
  <si>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</si>
  <si>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</si>
  <si>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</si>
  <si>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</si>
  <si>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</si>
  <si>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</si>
  <si>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</si>
  <si>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</si>
  <si>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</si>
  <si>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</si>
  <si>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</si>
  <si>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</si>
  <si>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</si>
  <si>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</si>
  <si>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</si>
  <si>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</si>
  <si>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</si>
  <si>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</si>
  <si>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</si>
  <si>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</si>
  <si>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</si>
  <si>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</si>
  <si>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</si>
  <si>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</si>
  <si>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</si>
  <si>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</si>
  <si>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</si>
  <si>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</si>
  <si>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</si>
  <si>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</si>
  <si>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</si>
  <si>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</si>
  <si>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</si>
  <si>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</si>
  <si>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</si>
  <si>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</si>
  <si>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</si>
  <si>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</si>
  <si>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</si>
  <si>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</si>
  <si>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</si>
  <si>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</si>
  <si>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</si>
  <si>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</si>
  <si>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</si>
  <si>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</si>
  <si>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</si>
  <si>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</si>
  <si>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</si>
  <si>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</si>
  <si>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</si>
  <si>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</si>
  <si>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</si>
  <si>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</si>
  <si>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</si>
  <si>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</si>
  <si>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</si>
  <si>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</si>
  <si>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</si>
  <si>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</si>
  <si>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</si>
  <si>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</si>
  <si>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</si>
  <si>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</si>
  <si>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</si>
  <si>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</si>
  <si>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</si>
  <si>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</si>
  <si>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</si>
  <si>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</si>
  <si>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</si>
  <si>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</si>
  <si>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</si>
  <si>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</si>
  <si>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</si>
  <si>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</si>
  <si>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</si>
  <si>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</si>
  <si>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</si>
  <si>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</si>
  <si>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</si>
  <si>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</si>
  <si>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</si>
  <si>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</si>
  <si>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</si>
  <si>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</si>
  <si>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</si>
  <si>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</si>
  <si>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</si>
  <si>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</si>
  <si>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</si>
  <si>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</si>
  <si>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</si>
  <si>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</si>
  <si>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</si>
  <si>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</si>
  <si>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</si>
  <si>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</si>
  <si>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</si>
  <si>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</si>
  <si>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</si>
  <si>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</si>
  <si>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</si>
  <si>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</si>
  <si>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</si>
  <si>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</si>
  <si>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</si>
  <si>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</si>
  <si>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</si>
  <si>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</si>
  <si>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</si>
  <si>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</si>
  <si>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</si>
  <si>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</si>
  <si>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</si>
  <si>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</si>
  <si>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</si>
  <si>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</si>
  <si>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</si>
  <si>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</si>
  <si>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</si>
  <si>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</si>
  <si>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</si>
  <si>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</si>
  <si>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</si>
  <si>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</si>
  <si>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</si>
  <si>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</si>
  <si>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</si>
  <si>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</si>
  <si>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</si>
  <si>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</si>
  <si>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</si>
  <si>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</si>
  <si>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</si>
  <si>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</si>
  <si>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</si>
  <si>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</si>
  <si>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</si>
  <si>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</si>
  <si>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</si>
  <si>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</si>
  <si>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</si>
  <si>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</si>
  <si>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</si>
  <si>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</si>
  <si>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</si>
  <si>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</si>
  <si>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</si>
  <si>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</si>
  <si>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</si>
  <si>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</si>
  <si>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</si>
  <si>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</si>
  <si>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</si>
  <si>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</si>
  <si>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</si>
  <si>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</si>
  <si>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</si>
  <si>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</si>
  <si>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</si>
  <si>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</si>
  <si>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</si>
  <si>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</si>
  <si>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</si>
  <si>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</si>
  <si>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</si>
  <si>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</si>
  <si>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</si>
  <si>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</si>
  <si>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</si>
  <si>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</si>
  <si>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</si>
  <si>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</si>
  <si>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</si>
  <si>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</si>
  <si>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</si>
  <si>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</si>
  <si>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</si>
  <si>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</si>
  <si>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</si>
  <si>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</si>
  <si>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</si>
  <si>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</si>
  <si>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</si>
  <si>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</si>
  <si>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</si>
  <si>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</si>
  <si>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</si>
  <si>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</si>
  <si>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</si>
  <si>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</si>
  <si>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</si>
  <si>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</si>
  <si>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</si>
  <si>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</si>
  <si>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</si>
  <si>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</si>
  <si>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</si>
  <si>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</si>
  <si>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</si>
  <si>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</si>
  <si>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</si>
  <si>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</si>
  <si>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</si>
  <si>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</si>
  <si>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</si>
  <si>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</si>
  <si>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</si>
  <si>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</si>
  <si>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</si>
  <si>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</si>
  <si>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</si>
  <si>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</si>
  <si>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</si>
  <si>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</si>
  <si>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</si>
  <si>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</si>
  <si>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</si>
  <si>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</si>
  <si>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</si>
  <si>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</si>
  <si>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</si>
  <si>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</si>
  <si>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</si>
  <si>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</si>
  <si>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</si>
  <si>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</si>
  <si>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</si>
  <si>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</si>
  <si>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</si>
  <si>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</si>
  <si>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</si>
  <si>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</si>
  <si>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</si>
  <si>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</si>
  <si>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</si>
  <si>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</si>
  <si>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</si>
  <si>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</si>
  <si>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</si>
  <si>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</si>
  <si>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</si>
  <si>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</si>
  <si>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</si>
  <si>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</si>
  <si>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</si>
  <si>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</si>
  <si>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</si>
  <si>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</si>
  <si>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</si>
  <si>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</si>
  <si>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</si>
  <si>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</si>
  <si>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</si>
  <si>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</si>
  <si>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</si>
  <si>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</si>
  <si>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</si>
  <si>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</si>
  <si>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</si>
  <si>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</si>
  <si>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</si>
  <si>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</si>
  <si>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</si>
  <si>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</si>
  <si>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</si>
  <si>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</si>
  <si>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</si>
  <si>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</si>
  <si>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</si>
  <si>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</si>
  <si>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</si>
  <si>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</si>
  <si>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</si>
  <si>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</si>
  <si>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</si>
  <si>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</si>
  <si>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</si>
  <si>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</si>
  <si>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</si>
  <si>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</si>
  <si>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</si>
  <si>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</si>
  <si>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</si>
  <si>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</si>
  <si>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</si>
  <si>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</si>
  <si>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</si>
  <si>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</si>
  <si>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</si>
  <si>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</si>
  <si>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</si>
  <si>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</si>
  <si>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</si>
  <si>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</si>
  <si>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</si>
  <si>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</si>
  <si>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</si>
  <si>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</si>
  <si>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</si>
  <si>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</si>
  <si>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</si>
  <si>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</si>
  <si>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</si>
  <si>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</si>
  <si>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</si>
  <si>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</si>
  <si>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</si>
  <si>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</si>
  <si>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</si>
  <si>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</si>
  <si>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</si>
  <si>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</si>
  <si>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</si>
  <si>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</si>
  <si>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</si>
  <si>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</si>
  <si>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</si>
  <si>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</si>
  <si>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</si>
  <si>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</si>
  <si>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</si>
  <si>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</si>
  <si>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</si>
  <si>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</si>
  <si>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</si>
  <si>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</si>
  <si>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</si>
  <si>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</si>
  <si>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</si>
  <si>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</si>
  <si>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</si>
  <si>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</si>
  <si>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</si>
  <si>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</si>
  <si>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</si>
  <si>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</si>
  <si>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</si>
  <si>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</si>
  <si>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</si>
  <si>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</si>
  <si>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</si>
  <si>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</si>
  <si>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</si>
  <si>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</si>
  <si>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</si>
  <si>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</si>
  <si>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</si>
  <si>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</si>
  <si>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</si>
  <si>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</si>
  <si>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</si>
  <si>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</si>
  <si>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</si>
  <si>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</si>
  <si>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</si>
  <si>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</si>
  <si>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</si>
  <si>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</si>
  <si>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</si>
  <si>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</si>
  <si>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</si>
  <si>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</si>
  <si>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</si>
  <si>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</si>
  <si>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</si>
  <si>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</si>
  <si>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</si>
  <si>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</si>
  <si>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</si>
  <si>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</si>
  <si>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</si>
  <si>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</si>
  <si>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</si>
  <si>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</si>
  <si>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</si>
  <si>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</si>
  <si>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</si>
  <si>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</si>
  <si>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</si>
  <si>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</si>
  <si>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</si>
  <si>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</si>
  <si>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</si>
  <si>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</si>
  <si>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</si>
  <si>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</si>
  <si>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</si>
  <si>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</si>
  <si>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</si>
  <si>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</si>
  <si>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</si>
  <si>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</si>
  <si>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</si>
  <si>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</si>
  <si>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</si>
  <si>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</si>
  <si>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</si>
  <si>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</si>
  <si>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</si>
  <si>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</si>
  <si>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</si>
  <si>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</si>
  <si>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</si>
  <si>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</si>
  <si>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</si>
  <si>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</si>
  <si>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</si>
  <si>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</si>
  <si>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</si>
  <si>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</si>
  <si>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</si>
  <si>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</si>
  <si>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</si>
  <si>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</si>
  <si>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</si>
  <si>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</si>
  <si>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</si>
  <si>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</si>
  <si>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</si>
  <si>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</si>
  <si>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</si>
  <si>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</si>
  <si>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</si>
  <si>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</si>
  <si>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</si>
  <si>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</si>
  <si>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</si>
  <si>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</si>
  <si>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</si>
  <si>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</si>
  <si>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</si>
  <si>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</si>
  <si>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</si>
  <si>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</si>
  <si>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</si>
  <si>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</si>
  <si>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</si>
  <si>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</si>
  <si>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</si>
  <si>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</si>
  <si>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</si>
  <si>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</si>
  <si>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</si>
  <si>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</si>
  <si>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</si>
  <si>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</si>
  <si>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</si>
  <si>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</si>
  <si>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</si>
  <si>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</si>
  <si>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</si>
  <si>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</si>
  <si>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</si>
  <si>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</si>
  <si>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</si>
  <si>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</si>
  <si>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</si>
  <si>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</si>
  <si>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</si>
  <si>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</si>
  <si>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</si>
  <si>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</si>
  <si>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</si>
  <si>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</si>
  <si>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</si>
  <si>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</si>
  <si>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</si>
  <si>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</si>
  <si>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</si>
  <si>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</si>
  <si>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</si>
  <si>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</si>
  <si>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</si>
  <si>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</si>
  <si>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</si>
  <si>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</si>
  <si>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</si>
  <si>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</si>
  <si>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</si>
  <si>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</si>
  <si>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</si>
  <si>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</si>
  <si>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</si>
  <si>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</si>
  <si>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</si>
  <si>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</si>
  <si>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</si>
  <si>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</si>
  <si>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</si>
  <si>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</si>
  <si>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</si>
  <si>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</si>
  <si>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</si>
  <si>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</si>
  <si>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</si>
  <si>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</si>
  <si>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</si>
  <si>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</si>
  <si>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</si>
  <si>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</si>
  <si>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</si>
  <si>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</si>
  <si>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</si>
  <si>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</si>
  <si>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</si>
  <si>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</si>
  <si>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</si>
  <si>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</si>
  <si>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</si>
  <si>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</si>
  <si>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</si>
  <si>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</si>
  <si>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</si>
  <si>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</si>
  <si>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</si>
  <si>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</si>
  <si>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</si>
  <si>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</si>
  <si>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</si>
  <si>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</si>
  <si>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</si>
  <si>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</si>
  <si>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</si>
  <si>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</si>
  <si>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</si>
  <si>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</si>
  <si>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</si>
  <si>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</si>
  <si>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</si>
  <si>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</si>
  <si>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</si>
  <si>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</si>
  <si>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</si>
  <si>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</si>
  <si>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</si>
  <si>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</si>
  <si>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</si>
  <si>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</si>
  <si>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</si>
  <si>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</si>
  <si>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</si>
  <si>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</si>
  <si>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</si>
  <si>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</si>
  <si>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</si>
  <si>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</si>
  <si>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</si>
  <si>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</si>
  <si>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</si>
  <si>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</si>
  <si>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</si>
  <si>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</si>
  <si>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</si>
  <si>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</si>
  <si>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</si>
  <si>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</si>
  <si>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</si>
  <si>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</si>
  <si>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</si>
  <si>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</si>
  <si>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</si>
  <si>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</si>
  <si>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</si>
  <si>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</si>
  <si>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</si>
  <si>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</si>
  <si>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</si>
  <si>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</si>
  <si>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</si>
  <si>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</si>
  <si>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</si>
  <si>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</si>
  <si>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</si>
  <si>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</si>
  <si>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</si>
  <si>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</si>
  <si>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</si>
  <si>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</si>
  <si>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</si>
  <si>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</si>
  <si>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</si>
  <si>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</si>
  <si>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</si>
  <si>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</si>
  <si>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</si>
  <si>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</si>
  <si>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</si>
  <si>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</si>
  <si>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</si>
  <si>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</si>
  <si>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</si>
  <si>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</si>
  <si>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</si>
  <si>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</si>
  <si>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</si>
  <si>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</si>
  <si>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</si>
  <si>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</si>
  <si>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</si>
  <si>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</si>
  <si>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</si>
  <si>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</si>
  <si>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</si>
  <si>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</si>
  <si>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</si>
  <si>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</si>
  <si>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</si>
  <si>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</si>
  <si>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</si>
  <si>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</si>
  <si>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</si>
  <si>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</si>
  <si>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</si>
  <si>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</si>
  <si>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</si>
  <si>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</si>
  <si>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</si>
  <si>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</si>
  <si>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</si>
  <si>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</si>
  <si>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</si>
  <si>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</si>
  <si>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</si>
  <si>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</si>
  <si>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</si>
  <si>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</si>
  <si>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</si>
  <si>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</si>
  <si>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</si>
  <si>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</si>
  <si>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</si>
  <si>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</si>
  <si>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</si>
  <si>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</si>
  <si>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</si>
  <si>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</si>
  <si>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</si>
  <si>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</si>
  <si>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</si>
  <si>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</si>
  <si>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</si>
  <si>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</si>
  <si>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</si>
  <si>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</si>
  <si>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</si>
  <si>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</si>
  <si>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</si>
  <si>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</si>
  <si>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</si>
  <si>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</si>
  <si>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</si>
  <si>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</si>
  <si>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</si>
  <si>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</si>
  <si>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</si>
  <si>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</si>
  <si>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</si>
  <si>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</si>
  <si>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</si>
  <si>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</si>
  <si>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</si>
  <si>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</si>
  <si>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</si>
  <si>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</si>
  <si>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</si>
  <si>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</si>
  <si>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</si>
  <si>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</si>
  <si>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</si>
  <si>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</si>
  <si>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</si>
  <si>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</si>
  <si>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</si>
  <si>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</si>
  <si>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</si>
  <si>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</si>
  <si>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</si>
  <si>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</si>
  <si>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</si>
  <si>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</si>
  <si>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</si>
  <si>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</si>
  <si>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</si>
  <si>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</si>
  <si>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</si>
  <si>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</si>
  <si>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</si>
  <si>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</si>
  <si>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</si>
  <si>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</si>
  <si>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</si>
  <si>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</si>
  <si>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</si>
  <si>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</si>
  <si>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</si>
  <si>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</si>
  <si>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</si>
  <si>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</si>
  <si>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</si>
  <si>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</si>
  <si>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</si>
  <si>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</si>
  <si>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</si>
  <si>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</si>
  <si>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</si>
  <si>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</si>
  <si>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</si>
  <si>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</si>
  <si>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</si>
  <si>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</si>
  <si>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</si>
  <si>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</si>
  <si>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</si>
  <si>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</si>
  <si>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</si>
  <si>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</si>
  <si>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</si>
  <si>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</si>
  <si>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</si>
  <si>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</si>
  <si>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</si>
  <si>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</si>
  <si>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</si>
  <si>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</si>
  <si>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</si>
  <si>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</si>
  <si>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</si>
  <si>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</si>
  <si>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</si>
  <si>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</si>
  <si>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</si>
  <si>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</si>
  <si>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</si>
  <si>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</si>
  <si>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</si>
  <si>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</si>
  <si>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</si>
  <si>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</si>
  <si>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</si>
  <si>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</si>
  <si>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</si>
  <si>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</si>
  <si>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</si>
  <si>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</si>
  <si>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</si>
  <si>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</si>
  <si>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</si>
  <si>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</si>
  <si>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</si>
  <si>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</si>
  <si>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</si>
  <si>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</si>
  <si>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</si>
  <si>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</si>
  <si>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</si>
  <si>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</si>
  <si>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</si>
  <si>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</si>
  <si>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</si>
  <si>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</si>
  <si>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</si>
  <si>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</si>
  <si>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</si>
  <si>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</si>
  <si>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</si>
  <si>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</si>
  <si>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</si>
  <si>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</si>
  <si>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</si>
  <si>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</si>
  <si>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</si>
  <si>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</si>
  <si>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</si>
  <si>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</si>
  <si>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</si>
  <si>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</si>
  <si>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</si>
  <si>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</si>
  <si>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</si>
  <si>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</si>
  <si>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</si>
  <si>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</si>
  <si>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</si>
  <si>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</si>
  <si>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</si>
  <si>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</si>
  <si>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</si>
  <si>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</si>
  <si>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</si>
  <si>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</si>
  <si>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</si>
  <si>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</si>
  <si>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</si>
  <si>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</si>
  <si>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</si>
  <si>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</si>
  <si>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</si>
  <si>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</si>
  <si>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</si>
  <si>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</si>
  <si>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</si>
  <si>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</si>
  <si>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</si>
  <si>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</si>
  <si>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</si>
  <si>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</si>
  <si>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</si>
  <si>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</si>
  <si>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</si>
  <si>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</si>
  <si>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</si>
  <si>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</si>
  <si>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</si>
  <si>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</si>
  <si>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</si>
  <si>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</si>
  <si>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</si>
  <si>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</si>
  <si>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</si>
  <si>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</si>
  <si>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</si>
  <si>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</si>
  <si>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</si>
  <si>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</si>
  <si>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</si>
  <si>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</si>
  <si>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</si>
  <si>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</si>
  <si>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</si>
  <si>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</si>
  <si>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</si>
  <si>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</si>
  <si>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</si>
  <si>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</si>
  <si>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</si>
  <si>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</si>
  <si>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</si>
  <si>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</si>
  <si>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</si>
  <si>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</si>
  <si>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</si>
  <si>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</si>
  <si>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</si>
  <si>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</si>
  <si>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</si>
  <si>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</si>
  <si>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</si>
  <si>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</si>
  <si>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</si>
  <si>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</si>
  <si>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</si>
  <si>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</si>
  <si>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</si>
  <si>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</si>
  <si>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</si>
  <si>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</si>
  <si>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</si>
  <si>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</si>
  <si>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</si>
  <si>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</si>
  <si>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</si>
  <si>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</si>
  <si>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</si>
  <si>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</si>
  <si>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</si>
  <si>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</si>
  <si>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</si>
  <si>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</si>
  <si>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</si>
  <si>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</si>
  <si>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</si>
  <si>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</si>
  <si>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</si>
  <si>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</si>
  <si>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</si>
  <si>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</si>
  <si>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</si>
  <si>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</si>
  <si>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</si>
  <si>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</si>
  <si>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</si>
  <si>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</si>
  <si>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</si>
  <si>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</si>
  <si>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</si>
  <si>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</si>
  <si>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</si>
  <si>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</si>
  <si>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</si>
  <si>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</si>
  <si>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</si>
  <si>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</si>
  <si>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</si>
  <si>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</si>
  <si>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</si>
  <si>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</si>
  <si>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</si>
  <si>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</si>
  <si>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</si>
  <si>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</si>
  <si>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</si>
  <si>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</si>
  <si>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</si>
  <si>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</si>
  <si>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</si>
  <si>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</si>
  <si>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</si>
  <si>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</si>
  <si>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</si>
  <si>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</si>
  <si>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</si>
  <si>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</si>
  <si>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</si>
  <si>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</si>
  <si>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</si>
  <si>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</si>
  <si>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</si>
  <si>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</si>
  <si>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</si>
  <si>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</si>
  <si>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</si>
  <si>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</si>
  <si>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</si>
  <si>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</si>
  <si>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</si>
  <si>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</si>
  <si>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</si>
  <si>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</si>
  <si>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</si>
  <si>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</si>
  <si>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</si>
  <si>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</si>
  <si>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</si>
  <si>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</si>
  <si>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</si>
  <si>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</si>
  <si>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</si>
  <si>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</si>
  <si>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</si>
  <si>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</si>
  <si>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</si>
  <si>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</si>
  <si>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</si>
  <si>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</si>
  <si>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</si>
  <si>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</si>
  <si>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</si>
  <si>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</si>
  <si>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</si>
  <si>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</si>
  <si>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</si>
  <si>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</si>
  <si>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</si>
  <si>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</si>
  <si>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</si>
  <si>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</si>
  <si>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</si>
  <si>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</si>
  <si>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</si>
  <si>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</si>
  <si>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</si>
  <si>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</si>
  <si>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</si>
  <si>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</si>
  <si>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</si>
  <si>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</si>
  <si>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</si>
  <si>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</si>
  <si>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</si>
  <si>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</si>
  <si>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</si>
  <si>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</si>
  <si>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</si>
  <si>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</si>
  <si>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</si>
  <si>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</si>
  <si>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</si>
  <si>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</si>
  <si>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</si>
  <si>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</si>
  <si>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</si>
  <si>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</si>
  <si>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</si>
  <si>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</si>
  <si>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</si>
  <si>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</si>
  <si>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</si>
  <si>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</si>
  <si>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</si>
  <si>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</si>
  <si>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</si>
  <si>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</si>
  <si>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</si>
  <si>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</si>
  <si>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</si>
  <si>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</si>
  <si>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</si>
  <si>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</si>
  <si>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</si>
  <si>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</si>
  <si>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</si>
  <si>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</si>
  <si>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</si>
  <si>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</si>
  <si>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</si>
  <si>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</si>
  <si>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</si>
  <si>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</si>
  <si>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</si>
  <si>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</si>
  <si>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</si>
  <si>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</si>
  <si>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</si>
  <si>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</si>
  <si>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</si>
  <si>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</si>
  <si>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</si>
  <si>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</si>
  <si>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</si>
  <si>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</si>
  <si>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</si>
  <si>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</si>
  <si>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</si>
  <si>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</si>
  <si>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</si>
  <si>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</si>
  <si>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</si>
  <si>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</si>
  <si>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</si>
  <si>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</si>
  <si>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</si>
  <si>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</si>
  <si>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</si>
  <si>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</si>
  <si>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</si>
  <si>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</si>
  <si>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</si>
  <si>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</si>
  <si>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</si>
  <si>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</si>
  <si>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</si>
  <si>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</si>
  <si>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</si>
  <si>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</si>
  <si>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</si>
  <si>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</si>
  <si>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</si>
  <si>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</si>
  <si>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</si>
  <si>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</si>
  <si>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</si>
  <si>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</si>
  <si>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</si>
  <si>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</si>
  <si>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</si>
  <si>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</si>
  <si>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</si>
  <si>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</si>
  <si>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</si>
  <si>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</si>
  <si>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</si>
  <si>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</si>
  <si>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</si>
  <si>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</si>
  <si>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</si>
  <si>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</si>
  <si>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</si>
  <si>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</si>
  <si>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</si>
  <si>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</si>
  <si>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</si>
  <si>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</si>
  <si>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</si>
  <si>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</si>
  <si>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</si>
  <si>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</si>
  <si>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</si>
  <si>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</si>
  <si>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</si>
  <si>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</si>
  <si>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</si>
  <si>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</si>
  <si>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</si>
  <si>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</si>
  <si>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</si>
  <si>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</si>
  <si>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</si>
  <si>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</si>
  <si>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</si>
  <si>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</si>
  <si>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</si>
  <si>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</si>
  <si>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</si>
  <si>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</si>
  <si>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</si>
  <si>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</si>
  <si>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</si>
  <si>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</si>
  <si>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</si>
  <si>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</si>
  <si>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</si>
  <si>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</si>
  <si>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</si>
  <si>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</si>
  <si>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</si>
  <si>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</si>
  <si>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</si>
  <si>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</si>
  <si>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</si>
  <si>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</si>
  <si>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</si>
  <si>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</si>
  <si>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</si>
  <si>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</si>
  <si>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</si>
  <si>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</si>
  <si>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</si>
  <si>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</si>
  <si>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</si>
  <si>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</si>
  <si>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</si>
  <si>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</si>
  <si>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</si>
  <si>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</si>
  <si>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</si>
  <si>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</si>
  <si>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</si>
  <si>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</si>
  <si>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</si>
  <si>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</si>
  <si>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</si>
  <si>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</si>
  <si>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</si>
  <si>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</si>
  <si>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</si>
  <si>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</si>
  <si>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</si>
  <si>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</si>
  <si>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</si>
  <si>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</si>
  <si>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</si>
  <si>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</si>
  <si>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</si>
  <si>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</si>
  <si>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</si>
  <si>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</si>
  <si>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</si>
  <si>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</si>
  <si>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</si>
  <si>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</si>
  <si>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</si>
  <si>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</si>
  <si>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</si>
  <si>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</si>
  <si>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</si>
  <si>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</si>
  <si>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</si>
  <si>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</si>
  <si>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</si>
  <si>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</si>
  <si>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</si>
  <si>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</si>
  <si>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</si>
  <si>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</si>
  <si>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</si>
  <si>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</si>
  <si>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</si>
  <si>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</si>
  <si>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</si>
  <si>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</si>
  <si>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</si>
  <si>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</si>
  <si>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</si>
  <si>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</si>
  <si>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</si>
  <si>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</si>
  <si>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</si>
  <si>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</si>
  <si>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</si>
  <si>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</si>
  <si>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</si>
  <si>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</si>
  <si>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</si>
  <si>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</si>
  <si>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</si>
  <si>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</si>
  <si>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</si>
  <si>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</si>
  <si>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</si>
  <si>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</si>
  <si>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</si>
  <si>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</si>
  <si>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</si>
  <si>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</si>
  <si>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</si>
  <si>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</si>
  <si>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</si>
  <si>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</si>
  <si>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</si>
  <si>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</si>
  <si>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</si>
  <si>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</si>
  <si>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</si>
  <si>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</si>
  <si>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</si>
  <si>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</si>
  <si>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</si>
  <si>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</si>
  <si>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</si>
  <si>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</si>
  <si>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</si>
  <si>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</si>
  <si>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</si>
  <si>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</si>
  <si>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</si>
  <si>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</si>
  <si>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</si>
  <si>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</si>
  <si>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</si>
  <si>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</si>
  <si>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</si>
  <si>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</si>
  <si>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</si>
  <si>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</si>
  <si>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</si>
  <si>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</si>
  <si>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</si>
  <si>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</si>
  <si>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</si>
  <si>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</si>
  <si>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</si>
  <si>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</si>
  <si>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</si>
  <si>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</si>
  <si>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</si>
  <si>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</si>
  <si>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</si>
  <si>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</si>
  <si>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</si>
  <si>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</si>
  <si>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</si>
  <si>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</si>
  <si>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</si>
  <si>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</si>
  <si>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</si>
  <si>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</si>
  <si>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</si>
  <si>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</si>
  <si>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</si>
  <si>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</si>
  <si>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</si>
  <si>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</si>
  <si>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</si>
  <si>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</si>
  <si>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</si>
  <si>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</si>
  <si>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</si>
  <si>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</si>
  <si>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</si>
  <si>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</si>
  <si>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</si>
  <si>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</si>
  <si>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</si>
  <si>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</si>
  <si>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</si>
  <si>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</si>
  <si>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</si>
  <si>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</si>
  <si>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</si>
  <si>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</si>
  <si>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</si>
  <si>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</si>
  <si>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</si>
  <si>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</si>
  <si>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</si>
  <si>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</si>
  <si>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</si>
  <si>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</si>
  <si>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</si>
  <si>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</si>
  <si>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</si>
  <si>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</si>
  <si>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</si>
  <si>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</si>
  <si>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</si>
  <si>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</si>
  <si>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</si>
  <si>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</si>
  <si>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</si>
  <si>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</si>
  <si>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</si>
  <si>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</si>
  <si>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</si>
  <si>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</si>
  <si>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</si>
  <si>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</si>
  <si>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</si>
  <si>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</si>
  <si>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</si>
  <si>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</si>
  <si>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</si>
  <si>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</si>
  <si>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</si>
  <si>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</si>
  <si>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</si>
  <si>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</si>
  <si>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</si>
  <si>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</si>
  <si>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</si>
  <si>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</si>
  <si>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</si>
  <si>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</si>
  <si>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</si>
  <si>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</si>
  <si>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</si>
  <si>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</si>
  <si>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</si>
  <si>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</si>
  <si>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</si>
  <si>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</si>
  <si>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</si>
  <si>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</si>
  <si>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</si>
  <si>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</si>
  <si>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</si>
  <si>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</si>
  <si>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</si>
  <si>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</si>
  <si>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</si>
  <si>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</si>
  <si>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</si>
  <si>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</si>
  <si>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</si>
  <si>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</si>
  <si>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</si>
  <si>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</si>
  <si>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</si>
  <si>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</si>
  <si>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</si>
  <si>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</si>
  <si>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</si>
  <si>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</si>
  <si>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</si>
  <si>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</si>
  <si>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</si>
  <si>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</si>
  <si>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</si>
  <si>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</si>
  <si>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</si>
  <si>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</si>
  <si>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</si>
  <si>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</si>
  <si>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</si>
  <si>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</si>
  <si>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</si>
  <si>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</si>
  <si>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</si>
  <si>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</si>
  <si>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</si>
  <si>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</si>
  <si>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</si>
  <si>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</si>
  <si>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</si>
  <si>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</si>
  <si>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</si>
  <si>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</si>
  <si>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</si>
  <si>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</si>
  <si>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</si>
  <si>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</si>
  <si>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</si>
  <si>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</si>
  <si>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</si>
  <si>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</si>
  <si>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</si>
  <si>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</si>
  <si>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</si>
  <si>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</si>
  <si>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</si>
  <si>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</si>
  <si>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</si>
  <si>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</si>
  <si>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</si>
  <si>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</si>
  <si>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</si>
  <si>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</si>
  <si>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</si>
  <si>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</si>
  <si>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</si>
  <si>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</si>
  <si>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</si>
  <si>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</si>
  <si>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</si>
  <si>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</si>
  <si>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</si>
  <si>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</si>
  <si>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</si>
  <si>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</si>
  <si>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</si>
  <si>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</si>
  <si>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</si>
  <si>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</si>
  <si>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</si>
  <si>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</si>
  <si>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</si>
  <si>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</si>
  <si>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</si>
  <si>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</si>
  <si>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</si>
  <si>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</si>
  <si>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</si>
  <si>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</si>
  <si>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</si>
  <si>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</si>
  <si>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</si>
  <si>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</si>
  <si>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</si>
  <si>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</si>
  <si>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</si>
  <si>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</si>
  <si>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</si>
  <si>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</si>
  <si>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</si>
  <si>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</si>
  <si>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</si>
  <si>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</si>
  <si>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</si>
  <si>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</si>
  <si>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</si>
  <si>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</si>
  <si>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</si>
  <si>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</si>
  <si>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</si>
  <si>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</si>
  <si>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</si>
  <si>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</si>
  <si>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</si>
  <si>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</si>
  <si>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</si>
  <si>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</si>
  <si>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</si>
  <si>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</si>
  <si>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</si>
  <si>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</si>
  <si>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</si>
  <si>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</si>
  <si>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</si>
  <si>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</si>
  <si>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</si>
  <si>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</si>
  <si>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</si>
  <si>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</si>
  <si>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</si>
  <si>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</si>
  <si>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</si>
  <si>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</si>
  <si>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</si>
  <si>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</si>
  <si>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</si>
  <si>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</si>
  <si>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</si>
  <si>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</si>
  <si>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</si>
  <si>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</si>
  <si>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</si>
  <si>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</si>
  <si>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</si>
  <si>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</si>
  <si>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</si>
  <si>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</si>
  <si>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</si>
  <si>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</si>
  <si>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</si>
  <si>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</si>
  <si>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</si>
  <si>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</si>
  <si>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</si>
  <si>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</si>
  <si>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</si>
  <si>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</si>
  <si>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</si>
  <si>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</si>
  <si>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</si>
  <si>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</si>
  <si>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</si>
  <si>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</si>
  <si>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</si>
  <si>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</si>
  <si>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</si>
  <si>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</si>
  <si>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</si>
  <si>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</si>
  <si>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</si>
  <si>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</si>
  <si>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</si>
  <si>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</si>
  <si>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</si>
  <si>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</si>
  <si>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</si>
  <si>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</si>
  <si>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</si>
  <si>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</si>
  <si>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</si>
  <si>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</si>
  <si>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</si>
  <si>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</si>
  <si>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</si>
  <si>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</si>
  <si>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</si>
  <si>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</si>
  <si>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</si>
  <si>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</si>
  <si>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</si>
  <si>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</si>
  <si>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</si>
  <si>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</si>
  <si>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</si>
  <si>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</si>
  <si>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</si>
  <si>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</si>
  <si>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</si>
  <si>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</si>
  <si>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</si>
  <si>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</si>
  <si>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</si>
  <si>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</si>
  <si>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</si>
  <si>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</si>
  <si>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</si>
  <si>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</si>
  <si>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</si>
  <si>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</si>
  <si>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</si>
  <si>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</si>
  <si>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</si>
  <si>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</si>
  <si>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</si>
  <si>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</si>
  <si>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</si>
  <si>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</si>
  <si>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</si>
  <si>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</si>
  <si>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</si>
  <si>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</si>
  <si>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</si>
  <si>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</si>
  <si>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</si>
  <si>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</si>
  <si>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</si>
  <si>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</si>
  <si>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</si>
  <si>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</si>
  <si>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</si>
  <si>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</si>
  <si>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</si>
  <si>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</si>
  <si>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</si>
  <si>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</si>
  <si>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</si>
  <si>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</si>
  <si>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</si>
  <si>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</si>
  <si>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</si>
  <si>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</si>
  <si>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</si>
  <si>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</si>
  <si>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</si>
  <si>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</si>
  <si>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</si>
  <si>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</si>
  <si>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</si>
  <si>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</si>
  <si>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</si>
  <si>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</si>
  <si>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</si>
  <si>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</si>
  <si>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</si>
  <si>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</si>
  <si>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</si>
  <si>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</si>
  <si>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</si>
  <si>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</si>
  <si>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</si>
  <si>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</si>
  <si>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</si>
  <si>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</si>
  <si>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</si>
  <si>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</si>
  <si>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</si>
  <si>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</si>
  <si>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</si>
  <si>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</si>
  <si>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</si>
  <si>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</si>
  <si>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</si>
  <si>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</si>
  <si>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</si>
  <si>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</si>
  <si>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</si>
  <si>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</si>
  <si>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</si>
  <si>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</si>
  <si>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</si>
  <si>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</si>
  <si>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</si>
  <si>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</si>
  <si>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</si>
  <si>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</si>
  <si>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</si>
  <si>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</si>
  <si>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</si>
  <si>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</si>
  <si>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</si>
  <si>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</si>
  <si>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</si>
  <si>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</si>
  <si>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</si>
  <si>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</si>
  <si>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</si>
  <si>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</si>
  <si>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</si>
  <si>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</si>
  <si>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</si>
  <si>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</si>
  <si>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</si>
  <si>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</si>
  <si>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</si>
  <si>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</si>
  <si>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</si>
  <si>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</si>
  <si>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</si>
  <si>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</si>
  <si>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</si>
  <si>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</si>
  <si>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</si>
  <si>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</si>
  <si>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</si>
  <si>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</si>
  <si>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</si>
  <si>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</si>
  <si>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</si>
  <si>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</si>
  <si>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</si>
  <si>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</si>
  <si>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</si>
  <si>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</si>
  <si>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</si>
  <si>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</si>
  <si>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</si>
  <si>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</si>
  <si>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</si>
  <si>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</si>
  <si>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</si>
  <si>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</si>
  <si>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</si>
  <si>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</si>
  <si>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</si>
  <si>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</si>
  <si>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</si>
  <si>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</si>
  <si>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</si>
  <si>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</si>
  <si>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</si>
  <si>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</si>
  <si>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</si>
  <si>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</si>
  <si>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</si>
  <si>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</si>
  <si>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</si>
  <si>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</si>
  <si>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</si>
  <si>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</si>
  <si>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</si>
  <si>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</si>
  <si>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</si>
  <si>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</si>
  <si>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</si>
  <si>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</si>
  <si>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</si>
  <si>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</si>
  <si>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</si>
  <si>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</si>
  <si>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</si>
  <si>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</si>
  <si>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</si>
  <si>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</si>
  <si>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</si>
  <si>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</si>
  <si>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</si>
  <si>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</si>
  <si>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</si>
  <si>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</si>
  <si>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</si>
  <si>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</si>
  <si>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</si>
  <si>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</si>
  <si>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</si>
  <si>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</si>
  <si>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</si>
  <si>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</si>
  <si>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</si>
  <si>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</si>
  <si>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</si>
  <si>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</si>
  <si>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</si>
  <si>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</si>
  <si>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</si>
  <si>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</si>
  <si>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</si>
  <si>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</si>
  <si>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</si>
  <si>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</si>
  <si>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</si>
  <si>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</si>
  <si>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</si>
  <si>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</si>
  <si>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</si>
  <si>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</si>
  <si>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</si>
  <si>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</si>
  <si>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</si>
  <si>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</si>
  <si>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</si>
  <si>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</si>
  <si>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</si>
  <si>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</si>
  <si>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</si>
  <si>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</si>
  <si>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</si>
  <si>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</si>
  <si>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</si>
  <si>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</si>
  <si>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</si>
  <si>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</si>
  <si>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</si>
  <si>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</si>
  <si>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</si>
  <si>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</si>
  <si>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</si>
  <si>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</si>
  <si>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</si>
  <si>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</si>
  <si>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</si>
  <si>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</si>
  <si>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</si>
  <si>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</si>
  <si>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</si>
  <si>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</si>
  <si>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</si>
  <si>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</si>
  <si>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</si>
  <si>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</si>
  <si>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</si>
  <si>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</si>
  <si>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</si>
  <si>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</si>
  <si>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</si>
  <si>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</si>
  <si>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</si>
  <si>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</si>
  <si>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</si>
  <si>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</si>
  <si>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</si>
  <si>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</si>
  <si>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</si>
  <si>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</si>
  <si>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</si>
  <si>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</si>
  <si>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</si>
  <si>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</si>
  <si>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</si>
  <si>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</si>
  <si>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</si>
  <si>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</si>
  <si>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</si>
  <si>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</si>
  <si>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</si>
  <si>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</si>
  <si>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</si>
  <si>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</si>
  <si>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</si>
  <si>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</si>
  <si>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</si>
  <si>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</si>
  <si>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</si>
  <si>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</si>
  <si>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</si>
  <si>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</si>
  <si>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</si>
  <si>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</si>
  <si>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</si>
  <si>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</si>
  <si>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</si>
  <si>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</si>
  <si>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</si>
  <si>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</si>
  <si>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</si>
  <si>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</si>
  <si>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</si>
  <si>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</si>
  <si>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</si>
  <si>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</si>
  <si>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</si>
  <si>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</si>
  <si>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</si>
  <si>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</si>
  <si>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</si>
  <si>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</si>
  <si>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</si>
  <si>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</si>
  <si>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</si>
  <si>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</si>
  <si>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</si>
  <si>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</si>
  <si>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</si>
  <si>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</si>
  <si>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</si>
  <si>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</si>
  <si>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</si>
  <si>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</si>
  <si>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</si>
  <si>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</si>
  <si>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</si>
  <si>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</si>
  <si>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</si>
  <si>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</si>
  <si>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</si>
  <si>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</si>
  <si>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</si>
  <si>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</si>
  <si>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</si>
  <si>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</si>
  <si>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</si>
  <si>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</si>
  <si>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</si>
  <si>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</si>
  <si>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</si>
  <si>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</si>
  <si>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</si>
  <si>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</si>
  <si>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</si>
  <si>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</si>
  <si>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</si>
  <si>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</si>
  <si>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</si>
  <si>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</si>
  <si>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</si>
  <si>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</si>
  <si>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</si>
  <si>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</si>
  <si>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</si>
  <si>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</si>
  <si>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</si>
  <si>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</si>
  <si>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</si>
  <si>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</si>
  <si>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</si>
  <si>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</si>
  <si>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</si>
  <si>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</si>
  <si>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</si>
  <si>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</si>
  <si>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</si>
  <si>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</si>
  <si>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</si>
  <si>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</si>
  <si>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</si>
  <si>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</si>
  <si>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</si>
  <si>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</si>
  <si>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</si>
  <si>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</si>
  <si>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</si>
  <si>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</si>
  <si>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</si>
  <si>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</si>
  <si>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</si>
  <si>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</si>
  <si>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</si>
  <si>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</si>
  <si>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</si>
  <si>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</si>
  <si>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</si>
  <si>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</si>
  <si>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</si>
  <si>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</si>
  <si>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</si>
  <si>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</si>
  <si>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</si>
  <si>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</si>
  <si>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</si>
  <si>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</si>
  <si>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</si>
  <si>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</si>
  <si>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</si>
  <si>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</si>
  <si>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</si>
  <si>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</si>
  <si>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</si>
  <si>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</si>
  <si>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</si>
  <si>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</si>
  <si>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</si>
  <si>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اشاد9 تعداد 100 قیمت 80500</t>
  </si>
  <si>
    <t>وتوسم 23952 تا 185.8</t>
  </si>
  <si>
    <t>5/8/1397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</si>
  <si>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</si>
  <si>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</si>
  <si>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</si>
  <si>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</si>
  <si>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</si>
  <si>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</si>
  <si>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</si>
  <si>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</si>
  <si>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</si>
  <si>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</si>
  <si>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</si>
  <si>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</si>
  <si>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</si>
  <si>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</si>
  <si>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</si>
  <si>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وتوسم 68372 تا 185.7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</si>
</sst>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5" xfId="0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4265</v>
      </c>
      <c r="B1" t="s">
        <v>4266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1041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794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1104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1041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1104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B7" workbookViewId="0">
      <selection activeCell="E48" sqref="E4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4356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4199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4203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4204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4206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4207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4207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4072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4212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4174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4216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4221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4252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4262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4277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4178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5009138</v>
      </c>
      <c r="C27" s="113">
        <f>SUM(C2:C26)</f>
        <v>7968789</v>
      </c>
      <c r="D27" s="113">
        <f>SUM(D2:D26)</f>
        <v>-2959651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120274140</v>
      </c>
      <c r="H28" s="18">
        <f>SUM(H2:H26)</f>
        <v>239063670</v>
      </c>
      <c r="I28" s="18">
        <f>SUM(I2:I26)</f>
        <v>-118789530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1192.5938693055714</v>
      </c>
      <c r="I33" s="18">
        <f>G33*I28/G28</f>
        <v>-592.59386930557139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4329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4328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4353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4354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4355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4357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4358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>
        <v>-33087</v>
      </c>
      <c r="E46" s="54" t="s">
        <v>4359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>
        <v>-73818</v>
      </c>
      <c r="E47" s="54" t="s">
        <v>4371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-55763263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9" activePane="bottomLeft" state="frozen"/>
      <selection pane="bottomLeft" activeCell="F226" sqref="F2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932</v>
      </c>
      <c r="H2" s="36">
        <f>IF(B2&gt;0,1,0)</f>
        <v>1</v>
      </c>
      <c r="I2" s="11">
        <f>B2*(G2-H2)</f>
        <v>15547700</v>
      </c>
      <c r="J2" s="53">
        <f>C2*(G2-H2)</f>
        <v>15547700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931</v>
      </c>
      <c r="H3" s="36">
        <f t="shared" ref="H3:H66" si="2">IF(B3&gt;0,1,0)</f>
        <v>1</v>
      </c>
      <c r="I3" s="11">
        <f t="shared" ref="I3:I66" si="3">B3*(G3-H3)</f>
        <v>18507000000</v>
      </c>
      <c r="J3" s="53">
        <f t="shared" ref="J3:J66" si="4">C3*(G3-H3)</f>
        <v>10589910000</v>
      </c>
      <c r="K3" s="53">
        <f t="shared" ref="K3:K66" si="5">D3*(G3-H3)</f>
        <v>7917090000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931</v>
      </c>
      <c r="H4" s="36">
        <f t="shared" si="2"/>
        <v>0</v>
      </c>
      <c r="I4" s="11">
        <f t="shared" si="3"/>
        <v>0</v>
      </c>
      <c r="J4" s="53">
        <f t="shared" si="4"/>
        <v>7913500</v>
      </c>
      <c r="K4" s="53">
        <f t="shared" si="5"/>
        <v>-7913500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929</v>
      </c>
      <c r="H5" s="36">
        <f t="shared" si="2"/>
        <v>1</v>
      </c>
      <c r="I5" s="11">
        <f t="shared" si="3"/>
        <v>1856000000</v>
      </c>
      <c r="J5" s="53">
        <f t="shared" si="4"/>
        <v>0</v>
      </c>
      <c r="K5" s="53">
        <f t="shared" si="5"/>
        <v>1856000000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922</v>
      </c>
      <c r="H6" s="36">
        <f t="shared" si="2"/>
        <v>0</v>
      </c>
      <c r="I6" s="11">
        <f t="shared" si="3"/>
        <v>-4610000</v>
      </c>
      <c r="J6" s="53">
        <f t="shared" si="4"/>
        <v>0</v>
      </c>
      <c r="K6" s="53">
        <f t="shared" si="5"/>
        <v>-4610000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918</v>
      </c>
      <c r="H7" s="36">
        <f t="shared" si="2"/>
        <v>0</v>
      </c>
      <c r="I7" s="11">
        <f t="shared" si="3"/>
        <v>-1102059000</v>
      </c>
      <c r="J7" s="53">
        <f t="shared" si="4"/>
        <v>0</v>
      </c>
      <c r="K7" s="53">
        <f t="shared" si="5"/>
        <v>-1102059000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917</v>
      </c>
      <c r="H8" s="36">
        <f t="shared" si="2"/>
        <v>0</v>
      </c>
      <c r="I8" s="11">
        <f t="shared" si="3"/>
        <v>-183400000</v>
      </c>
      <c r="J8" s="53">
        <f t="shared" si="4"/>
        <v>0</v>
      </c>
      <c r="K8" s="53">
        <f t="shared" si="5"/>
        <v>-183400000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915</v>
      </c>
      <c r="H9" s="36">
        <f t="shared" si="2"/>
        <v>0</v>
      </c>
      <c r="I9" s="11">
        <f t="shared" si="3"/>
        <v>-645532500</v>
      </c>
      <c r="J9" s="53">
        <f t="shared" si="4"/>
        <v>0</v>
      </c>
      <c r="K9" s="53">
        <f t="shared" si="5"/>
        <v>-645532500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906</v>
      </c>
      <c r="H10" s="36">
        <f t="shared" si="2"/>
        <v>0</v>
      </c>
      <c r="I10" s="11">
        <f t="shared" si="3"/>
        <v>-181200000</v>
      </c>
      <c r="J10" s="53">
        <f t="shared" si="4"/>
        <v>0</v>
      </c>
      <c r="K10" s="53">
        <f t="shared" si="5"/>
        <v>-181200000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906</v>
      </c>
      <c r="H11" s="36">
        <f t="shared" si="2"/>
        <v>1</v>
      </c>
      <c r="I11" s="11">
        <f t="shared" si="3"/>
        <v>905000000</v>
      </c>
      <c r="J11" s="53">
        <f t="shared" si="4"/>
        <v>0</v>
      </c>
      <c r="K11" s="53">
        <f t="shared" si="5"/>
        <v>905000000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902</v>
      </c>
      <c r="H12" s="36">
        <f t="shared" si="2"/>
        <v>0</v>
      </c>
      <c r="I12" s="11">
        <f t="shared" si="3"/>
        <v>-270600000</v>
      </c>
      <c r="J12" s="53">
        <f t="shared" si="4"/>
        <v>0</v>
      </c>
      <c r="K12" s="53">
        <f t="shared" si="5"/>
        <v>-270600000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897</v>
      </c>
      <c r="H13" s="36">
        <f t="shared" si="2"/>
        <v>0</v>
      </c>
      <c r="I13" s="11">
        <f t="shared" si="3"/>
        <v>-55614000</v>
      </c>
      <c r="J13" s="53">
        <f t="shared" si="4"/>
        <v>0</v>
      </c>
      <c r="K13" s="53">
        <f t="shared" si="5"/>
        <v>-55614000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897</v>
      </c>
      <c r="H14" s="36">
        <f t="shared" si="2"/>
        <v>1</v>
      </c>
      <c r="I14" s="11">
        <f t="shared" si="3"/>
        <v>1792000000</v>
      </c>
      <c r="J14" s="53">
        <f t="shared" si="4"/>
        <v>0</v>
      </c>
      <c r="K14" s="53">
        <f t="shared" si="5"/>
        <v>1792000000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896</v>
      </c>
      <c r="H15" s="36">
        <f t="shared" si="2"/>
        <v>1</v>
      </c>
      <c r="I15" s="11">
        <f t="shared" si="3"/>
        <v>1611000000</v>
      </c>
      <c r="J15" s="53">
        <f t="shared" si="4"/>
        <v>0</v>
      </c>
      <c r="K15" s="53">
        <f t="shared" si="5"/>
        <v>1611000000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896</v>
      </c>
      <c r="H16" s="36">
        <f t="shared" si="2"/>
        <v>0</v>
      </c>
      <c r="I16" s="11">
        <f t="shared" si="3"/>
        <v>-179200000</v>
      </c>
      <c r="J16" s="53">
        <f t="shared" si="4"/>
        <v>0</v>
      </c>
      <c r="K16" s="53">
        <f t="shared" si="5"/>
        <v>-179200000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892</v>
      </c>
      <c r="H17" s="36">
        <f t="shared" si="2"/>
        <v>0</v>
      </c>
      <c r="I17" s="11">
        <f t="shared" si="3"/>
        <v>-1784000000</v>
      </c>
      <c r="J17" s="53">
        <f t="shared" si="4"/>
        <v>0</v>
      </c>
      <c r="K17" s="53">
        <f t="shared" si="5"/>
        <v>-1784000000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891</v>
      </c>
      <c r="H18" s="36">
        <f t="shared" si="2"/>
        <v>0</v>
      </c>
      <c r="I18" s="11">
        <f t="shared" si="3"/>
        <v>-267300000</v>
      </c>
      <c r="J18" s="53">
        <f t="shared" si="4"/>
        <v>0</v>
      </c>
      <c r="K18" s="53">
        <f t="shared" si="5"/>
        <v>-267300000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890</v>
      </c>
      <c r="H19" s="36">
        <f t="shared" si="2"/>
        <v>0</v>
      </c>
      <c r="I19" s="11">
        <f t="shared" si="3"/>
        <v>-178000000</v>
      </c>
      <c r="J19" s="53">
        <f t="shared" si="4"/>
        <v>0</v>
      </c>
      <c r="K19" s="53">
        <f t="shared" si="5"/>
        <v>-178000000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888</v>
      </c>
      <c r="H20" s="36">
        <f t="shared" si="2"/>
        <v>1</v>
      </c>
      <c r="I20" s="11">
        <f t="shared" si="3"/>
        <v>240455943</v>
      </c>
      <c r="J20" s="53">
        <f t="shared" si="4"/>
        <v>130789924</v>
      </c>
      <c r="K20" s="53">
        <f t="shared" si="5"/>
        <v>109666019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886</v>
      </c>
      <c r="H21" s="36">
        <f t="shared" si="2"/>
        <v>0</v>
      </c>
      <c r="I21" s="11">
        <f t="shared" si="3"/>
        <v>-1334050200</v>
      </c>
      <c r="J21" s="53">
        <f t="shared" si="4"/>
        <v>0</v>
      </c>
      <c r="K21" s="53">
        <f t="shared" si="5"/>
        <v>-1334050200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883</v>
      </c>
      <c r="H22" s="36">
        <f t="shared" si="2"/>
        <v>1</v>
      </c>
      <c r="I22" s="11">
        <f t="shared" si="3"/>
        <v>2646000000</v>
      </c>
      <c r="J22" s="53">
        <f t="shared" si="4"/>
        <v>0</v>
      </c>
      <c r="K22" s="53">
        <f t="shared" si="5"/>
        <v>2646000000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882</v>
      </c>
      <c r="H23" s="36">
        <f t="shared" si="2"/>
        <v>1</v>
      </c>
      <c r="I23" s="11">
        <f t="shared" si="3"/>
        <v>881000000</v>
      </c>
      <c r="J23" s="53">
        <f t="shared" si="4"/>
        <v>0</v>
      </c>
      <c r="K23" s="53">
        <f t="shared" si="5"/>
        <v>881000000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881</v>
      </c>
      <c r="H24" s="36">
        <f t="shared" si="2"/>
        <v>0</v>
      </c>
      <c r="I24" s="11">
        <f t="shared" si="3"/>
        <v>-2643792900</v>
      </c>
      <c r="J24" s="53">
        <f t="shared" si="4"/>
        <v>0</v>
      </c>
      <c r="K24" s="53">
        <f t="shared" si="5"/>
        <v>-2643792900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866</v>
      </c>
      <c r="H25" s="36">
        <f t="shared" si="2"/>
        <v>1</v>
      </c>
      <c r="I25" s="11">
        <f t="shared" si="3"/>
        <v>1297500000</v>
      </c>
      <c r="J25" s="53">
        <f t="shared" si="4"/>
        <v>0</v>
      </c>
      <c r="K25" s="53">
        <f t="shared" si="5"/>
        <v>1297500000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858</v>
      </c>
      <c r="H26" s="36">
        <f t="shared" si="2"/>
        <v>0</v>
      </c>
      <c r="I26" s="11">
        <f t="shared" si="3"/>
        <v>-140712000</v>
      </c>
      <c r="J26" s="53">
        <f t="shared" si="4"/>
        <v>0</v>
      </c>
      <c r="K26" s="53">
        <f t="shared" si="5"/>
        <v>-140712000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857</v>
      </c>
      <c r="H27" s="36">
        <f t="shared" si="2"/>
        <v>1</v>
      </c>
      <c r="I27" s="11">
        <f t="shared" si="3"/>
        <v>170680408</v>
      </c>
      <c r="J27" s="53">
        <f t="shared" si="4"/>
        <v>91945528</v>
      </c>
      <c r="K27" s="53">
        <f t="shared" si="5"/>
        <v>78734880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855</v>
      </c>
      <c r="H28" s="36">
        <f t="shared" si="2"/>
        <v>0</v>
      </c>
      <c r="I28" s="11">
        <f t="shared" si="3"/>
        <v>-188955000</v>
      </c>
      <c r="J28" s="53">
        <f t="shared" si="4"/>
        <v>-188955000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855</v>
      </c>
      <c r="H29" s="36">
        <f t="shared" si="2"/>
        <v>0</v>
      </c>
      <c r="I29" s="11">
        <f t="shared" si="3"/>
        <v>-427927500</v>
      </c>
      <c r="J29" s="53">
        <f t="shared" si="4"/>
        <v>0</v>
      </c>
      <c r="K29" s="53">
        <f t="shared" si="5"/>
        <v>-427927500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855</v>
      </c>
      <c r="H30" s="36">
        <f t="shared" si="2"/>
        <v>0</v>
      </c>
      <c r="I30" s="11">
        <f t="shared" si="3"/>
        <v>-12825000000</v>
      </c>
      <c r="J30" s="53">
        <f t="shared" si="4"/>
        <v>-12825000000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838</v>
      </c>
      <c r="H31" s="36">
        <f t="shared" si="2"/>
        <v>0</v>
      </c>
      <c r="I31" s="11">
        <f t="shared" si="3"/>
        <v>-2523134200</v>
      </c>
      <c r="J31" s="53">
        <f t="shared" si="4"/>
        <v>0</v>
      </c>
      <c r="K31" s="53">
        <f t="shared" si="5"/>
        <v>-2523134200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836</v>
      </c>
      <c r="H32" s="36">
        <f t="shared" si="2"/>
        <v>0</v>
      </c>
      <c r="I32" s="11">
        <f t="shared" si="3"/>
        <v>-2512932400</v>
      </c>
      <c r="J32" s="53">
        <f t="shared" si="4"/>
        <v>0</v>
      </c>
      <c r="K32" s="53">
        <f t="shared" si="5"/>
        <v>-2512932400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835</v>
      </c>
      <c r="H33" s="36">
        <f t="shared" si="2"/>
        <v>0</v>
      </c>
      <c r="I33" s="11">
        <f t="shared" si="3"/>
        <v>-747742500</v>
      </c>
      <c r="J33" s="53">
        <f t="shared" si="4"/>
        <v>0</v>
      </c>
      <c r="K33" s="53">
        <f t="shared" si="5"/>
        <v>-747742500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835</v>
      </c>
      <c r="H34" s="36">
        <f t="shared" si="2"/>
        <v>0</v>
      </c>
      <c r="I34" s="11">
        <f t="shared" si="3"/>
        <v>0</v>
      </c>
      <c r="J34" s="53">
        <f t="shared" si="4"/>
        <v>835000000</v>
      </c>
      <c r="K34" s="53">
        <f t="shared" si="5"/>
        <v>-835000000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826</v>
      </c>
      <c r="H35" s="36">
        <f t="shared" si="2"/>
        <v>1</v>
      </c>
      <c r="I35" s="11">
        <f t="shared" si="3"/>
        <v>43289400</v>
      </c>
      <c r="J35" s="53">
        <f t="shared" si="4"/>
        <v>-17871975</v>
      </c>
      <c r="K35" s="53">
        <f t="shared" si="5"/>
        <v>61161375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826</v>
      </c>
      <c r="H36" s="36">
        <f t="shared" si="2"/>
        <v>0</v>
      </c>
      <c r="I36" s="11">
        <f t="shared" si="3"/>
        <v>0</v>
      </c>
      <c r="J36" s="53">
        <f t="shared" si="4"/>
        <v>17893638</v>
      </c>
      <c r="K36" s="53">
        <f t="shared" si="5"/>
        <v>-17893638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816</v>
      </c>
      <c r="H37" s="36">
        <f t="shared" si="2"/>
        <v>0</v>
      </c>
      <c r="I37" s="11">
        <f t="shared" si="3"/>
        <v>-44880000</v>
      </c>
      <c r="J37" s="53">
        <f t="shared" si="4"/>
        <v>0</v>
      </c>
      <c r="K37" s="53">
        <f t="shared" si="5"/>
        <v>-44880000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815</v>
      </c>
      <c r="H38" s="36">
        <f t="shared" si="2"/>
        <v>1</v>
      </c>
      <c r="I38" s="11">
        <f t="shared" si="3"/>
        <v>2442000000</v>
      </c>
      <c r="J38" s="53">
        <f t="shared" si="4"/>
        <v>2442000000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814</v>
      </c>
      <c r="H39" s="36">
        <f t="shared" si="2"/>
        <v>1</v>
      </c>
      <c r="I39" s="11">
        <f t="shared" si="3"/>
        <v>2032500000</v>
      </c>
      <c r="J39" s="53">
        <f t="shared" si="4"/>
        <v>2032500000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814</v>
      </c>
      <c r="H40" s="36">
        <f t="shared" si="2"/>
        <v>0</v>
      </c>
      <c r="I40" s="11">
        <f t="shared" si="3"/>
        <v>-40700000</v>
      </c>
      <c r="J40" s="53">
        <f t="shared" si="4"/>
        <v>0</v>
      </c>
      <c r="K40" s="53">
        <f t="shared" si="5"/>
        <v>-40700000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814</v>
      </c>
      <c r="H41" s="36">
        <f t="shared" si="2"/>
        <v>1</v>
      </c>
      <c r="I41" s="11">
        <f t="shared" si="3"/>
        <v>2439000000</v>
      </c>
      <c r="J41" s="53">
        <f t="shared" si="4"/>
        <v>0</v>
      </c>
      <c r="K41" s="53">
        <f t="shared" si="5"/>
        <v>2439000000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811</v>
      </c>
      <c r="H42" s="36">
        <f t="shared" si="2"/>
        <v>0</v>
      </c>
      <c r="I42" s="11">
        <f t="shared" si="3"/>
        <v>-72341200</v>
      </c>
      <c r="J42" s="53">
        <f t="shared" si="4"/>
        <v>0</v>
      </c>
      <c r="K42" s="53">
        <f t="shared" si="5"/>
        <v>-72341200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807</v>
      </c>
      <c r="H43" s="36">
        <f t="shared" si="2"/>
        <v>0</v>
      </c>
      <c r="I43" s="11">
        <f t="shared" si="3"/>
        <v>-161400000</v>
      </c>
      <c r="J43" s="53">
        <f t="shared" si="4"/>
        <v>0</v>
      </c>
      <c r="K43" s="53">
        <f t="shared" si="5"/>
        <v>-161400000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805</v>
      </c>
      <c r="H44" s="36">
        <f t="shared" si="2"/>
        <v>0</v>
      </c>
      <c r="I44" s="11">
        <f t="shared" si="3"/>
        <v>-161000000</v>
      </c>
      <c r="J44" s="53">
        <f t="shared" si="4"/>
        <v>0</v>
      </c>
      <c r="K44" s="53">
        <f t="shared" si="5"/>
        <v>-161000000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805</v>
      </c>
      <c r="H45" s="36">
        <f t="shared" si="2"/>
        <v>0</v>
      </c>
      <c r="I45" s="11">
        <f t="shared" si="3"/>
        <v>-450800000</v>
      </c>
      <c r="J45" s="53">
        <f t="shared" si="4"/>
        <v>0</v>
      </c>
      <c r="K45" s="53">
        <f t="shared" si="5"/>
        <v>-450800000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801</v>
      </c>
      <c r="H46" s="36">
        <f t="shared" si="2"/>
        <v>0</v>
      </c>
      <c r="I46" s="11">
        <f t="shared" si="3"/>
        <v>-565105500</v>
      </c>
      <c r="J46" s="53">
        <f t="shared" si="4"/>
        <v>0</v>
      </c>
      <c r="K46" s="53">
        <f t="shared" si="5"/>
        <v>-565105500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795</v>
      </c>
      <c r="H47" s="36">
        <f t="shared" si="2"/>
        <v>1</v>
      </c>
      <c r="I47" s="11">
        <f t="shared" si="3"/>
        <v>32715976</v>
      </c>
      <c r="J47" s="53">
        <f t="shared" si="4"/>
        <v>5330122</v>
      </c>
      <c r="K47" s="53">
        <f t="shared" si="5"/>
        <v>27385854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795</v>
      </c>
      <c r="H48" s="36">
        <f t="shared" si="2"/>
        <v>1</v>
      </c>
      <c r="I48" s="11">
        <f t="shared" si="3"/>
        <v>1353531800</v>
      </c>
      <c r="J48" s="53">
        <f t="shared" si="4"/>
        <v>0</v>
      </c>
      <c r="K48" s="53">
        <f t="shared" si="5"/>
        <v>1353531800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786</v>
      </c>
      <c r="H49" s="36">
        <f t="shared" si="2"/>
        <v>0</v>
      </c>
      <c r="I49" s="11">
        <f t="shared" si="3"/>
        <v>-121830000</v>
      </c>
      <c r="J49" s="53">
        <f t="shared" si="4"/>
        <v>0</v>
      </c>
      <c r="K49" s="53">
        <f t="shared" si="5"/>
        <v>-121830000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786</v>
      </c>
      <c r="H50" s="36">
        <f t="shared" si="2"/>
        <v>0</v>
      </c>
      <c r="I50" s="11">
        <f t="shared" si="3"/>
        <v>-108468000</v>
      </c>
      <c r="J50" s="53">
        <f t="shared" si="4"/>
        <v>0</v>
      </c>
      <c r="K50" s="53">
        <f t="shared" si="5"/>
        <v>-108468000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786</v>
      </c>
      <c r="H51" s="36">
        <f t="shared" si="2"/>
        <v>0</v>
      </c>
      <c r="I51" s="11">
        <f t="shared" si="3"/>
        <v>-581640000</v>
      </c>
      <c r="J51" s="53">
        <f t="shared" si="4"/>
        <v>0</v>
      </c>
      <c r="K51" s="53">
        <f t="shared" si="5"/>
        <v>-581640000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786</v>
      </c>
      <c r="H52" s="36">
        <f t="shared" si="2"/>
        <v>0</v>
      </c>
      <c r="I52" s="11">
        <f t="shared" si="3"/>
        <v>-157200000</v>
      </c>
      <c r="J52" s="53">
        <f t="shared" si="4"/>
        <v>0</v>
      </c>
      <c r="K52" s="53">
        <f t="shared" si="5"/>
        <v>-157200000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785</v>
      </c>
      <c r="H53" s="36">
        <f t="shared" si="2"/>
        <v>0</v>
      </c>
      <c r="I53" s="11">
        <f t="shared" si="3"/>
        <v>-828175000</v>
      </c>
      <c r="J53" s="53">
        <f t="shared" si="4"/>
        <v>0</v>
      </c>
      <c r="K53" s="53">
        <f t="shared" si="5"/>
        <v>-828175000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785</v>
      </c>
      <c r="H54" s="36">
        <f t="shared" si="2"/>
        <v>0</v>
      </c>
      <c r="I54" s="11">
        <f t="shared" si="3"/>
        <v>-157000000</v>
      </c>
      <c r="J54" s="53">
        <f t="shared" si="4"/>
        <v>0</v>
      </c>
      <c r="K54" s="53">
        <f t="shared" si="5"/>
        <v>-157000000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785</v>
      </c>
      <c r="H55" s="36">
        <f t="shared" si="2"/>
        <v>0</v>
      </c>
      <c r="I55" s="11">
        <f t="shared" si="3"/>
        <v>-785392500</v>
      </c>
      <c r="J55" s="53">
        <f t="shared" si="4"/>
        <v>0</v>
      </c>
      <c r="K55" s="53">
        <f t="shared" si="5"/>
        <v>-785392500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785</v>
      </c>
      <c r="H56" s="36">
        <f t="shared" si="2"/>
        <v>0</v>
      </c>
      <c r="I56" s="11">
        <f t="shared" si="3"/>
        <v>-29830000</v>
      </c>
      <c r="J56" s="53">
        <f t="shared" si="4"/>
        <v>0</v>
      </c>
      <c r="K56" s="53">
        <f t="shared" si="5"/>
        <v>-29830000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785</v>
      </c>
      <c r="H57" s="36">
        <f t="shared" si="2"/>
        <v>0</v>
      </c>
      <c r="I57" s="11">
        <f t="shared" si="3"/>
        <v>-82425000</v>
      </c>
      <c r="J57" s="53">
        <f t="shared" si="4"/>
        <v>0</v>
      </c>
      <c r="K57" s="53">
        <f t="shared" si="5"/>
        <v>-82425000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785</v>
      </c>
      <c r="H58" s="36">
        <f t="shared" si="2"/>
        <v>0</v>
      </c>
      <c r="I58" s="11">
        <f t="shared" si="3"/>
        <v>-47100000</v>
      </c>
      <c r="J58" s="53">
        <f t="shared" si="4"/>
        <v>0</v>
      </c>
      <c r="K58" s="53">
        <f t="shared" si="5"/>
        <v>-47100000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782</v>
      </c>
      <c r="H59" s="36">
        <f t="shared" si="2"/>
        <v>1</v>
      </c>
      <c r="I59" s="11">
        <f t="shared" si="3"/>
        <v>781000000</v>
      </c>
      <c r="J59" s="53">
        <f t="shared" si="4"/>
        <v>781000000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781</v>
      </c>
      <c r="H60" s="36">
        <f t="shared" si="2"/>
        <v>1</v>
      </c>
      <c r="I60" s="11">
        <f t="shared" si="3"/>
        <v>2730000000</v>
      </c>
      <c r="J60" s="53">
        <f t="shared" si="4"/>
        <v>2730000000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779</v>
      </c>
      <c r="H61" s="36">
        <f t="shared" si="2"/>
        <v>1</v>
      </c>
      <c r="I61" s="11">
        <f t="shared" si="3"/>
        <v>778000000</v>
      </c>
      <c r="J61" s="53">
        <f t="shared" si="4"/>
        <v>778000000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779</v>
      </c>
      <c r="H62" s="36">
        <f t="shared" si="2"/>
        <v>1</v>
      </c>
      <c r="I62" s="11">
        <f t="shared" si="3"/>
        <v>2334000000</v>
      </c>
      <c r="J62" s="53">
        <f t="shared" si="4"/>
        <v>2334000000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777</v>
      </c>
      <c r="H63" s="36">
        <f t="shared" si="2"/>
        <v>0</v>
      </c>
      <c r="I63" s="11">
        <f t="shared" si="3"/>
        <v>-155400000</v>
      </c>
      <c r="J63" s="53">
        <f t="shared" si="4"/>
        <v>0</v>
      </c>
      <c r="K63" s="53">
        <f t="shared" si="5"/>
        <v>-155400000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772</v>
      </c>
      <c r="H64" s="36">
        <f t="shared" si="2"/>
        <v>0</v>
      </c>
      <c r="I64" s="11">
        <f t="shared" si="3"/>
        <v>-38600000</v>
      </c>
      <c r="J64" s="53">
        <f t="shared" si="4"/>
        <v>0</v>
      </c>
      <c r="K64" s="53">
        <f t="shared" si="5"/>
        <v>-38600000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768</v>
      </c>
      <c r="H65" s="36">
        <f t="shared" si="2"/>
        <v>0</v>
      </c>
      <c r="I65" s="11">
        <f t="shared" si="3"/>
        <v>-153600000</v>
      </c>
      <c r="J65" s="53">
        <f t="shared" si="4"/>
        <v>0</v>
      </c>
      <c r="K65" s="53">
        <f t="shared" si="5"/>
        <v>-153600000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765</v>
      </c>
      <c r="H66" s="36">
        <f t="shared" si="2"/>
        <v>0</v>
      </c>
      <c r="I66" s="11">
        <f t="shared" si="3"/>
        <v>-130050000</v>
      </c>
      <c r="J66" s="53">
        <f t="shared" si="4"/>
        <v>0</v>
      </c>
      <c r="K66" s="53">
        <f t="shared" si="5"/>
        <v>-130050000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764</v>
      </c>
      <c r="H67" s="36">
        <f t="shared" ref="H67:H131" si="8">IF(B67&gt;0,1,0)</f>
        <v>1</v>
      </c>
      <c r="I67" s="11">
        <f t="shared" ref="I67:I119" si="9">B67*(G67-H67)</f>
        <v>69680975</v>
      </c>
      <c r="J67" s="53">
        <f t="shared" ref="J67:J131" si="10">C67*(G67-H67)</f>
        <v>50146649</v>
      </c>
      <c r="K67" s="53">
        <f t="shared" ref="K67:K131" si="11">D67*(G67-H67)</f>
        <v>19534326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746</v>
      </c>
      <c r="H68" s="36">
        <f t="shared" si="8"/>
        <v>0</v>
      </c>
      <c r="I68" s="11">
        <f t="shared" si="9"/>
        <v>-108170000</v>
      </c>
      <c r="J68" s="53">
        <f t="shared" si="10"/>
        <v>0</v>
      </c>
      <c r="K68" s="53">
        <f t="shared" si="11"/>
        <v>-108170000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739</v>
      </c>
      <c r="H69" s="36">
        <f t="shared" si="8"/>
        <v>1</v>
      </c>
      <c r="I69" s="11">
        <f t="shared" si="9"/>
        <v>723240000</v>
      </c>
      <c r="J69" s="53">
        <f t="shared" si="10"/>
        <v>0</v>
      </c>
      <c r="K69" s="53">
        <f t="shared" si="11"/>
        <v>723240000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736</v>
      </c>
      <c r="H70" s="36">
        <f t="shared" si="8"/>
        <v>0</v>
      </c>
      <c r="I70" s="11">
        <f t="shared" si="9"/>
        <v>-33856000</v>
      </c>
      <c r="J70" s="53">
        <f t="shared" si="10"/>
        <v>0</v>
      </c>
      <c r="K70" s="53">
        <f t="shared" si="11"/>
        <v>-33856000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734</v>
      </c>
      <c r="H71" s="36">
        <f t="shared" si="8"/>
        <v>1</v>
      </c>
      <c r="I71" s="11">
        <f t="shared" si="9"/>
        <v>84542754</v>
      </c>
      <c r="J71" s="53">
        <f t="shared" si="10"/>
        <v>76094196</v>
      </c>
      <c r="K71" s="53">
        <f t="shared" si="11"/>
        <v>8448558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733</v>
      </c>
      <c r="H72" s="36">
        <f t="shared" si="8"/>
        <v>0</v>
      </c>
      <c r="I72" s="11">
        <f t="shared" si="9"/>
        <v>-111393277</v>
      </c>
      <c r="J72" s="53">
        <f t="shared" si="10"/>
        <v>0</v>
      </c>
      <c r="K72" s="53">
        <f t="shared" si="11"/>
        <v>-111393277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732</v>
      </c>
      <c r="H73" s="36">
        <f t="shared" si="8"/>
        <v>0</v>
      </c>
      <c r="I73" s="11">
        <f t="shared" si="9"/>
        <v>-589626000</v>
      </c>
      <c r="J73" s="53">
        <f t="shared" si="10"/>
        <v>0</v>
      </c>
      <c r="K73" s="53">
        <f t="shared" si="11"/>
        <v>-589626000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725</v>
      </c>
      <c r="H74" s="36">
        <f t="shared" si="8"/>
        <v>1</v>
      </c>
      <c r="I74" s="11">
        <f t="shared" si="9"/>
        <v>5064380000</v>
      </c>
      <c r="J74" s="53">
        <f t="shared" si="10"/>
        <v>0</v>
      </c>
      <c r="K74" s="53">
        <f t="shared" si="11"/>
        <v>5064380000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724</v>
      </c>
      <c r="H75" s="36">
        <f t="shared" si="8"/>
        <v>1</v>
      </c>
      <c r="I75" s="11">
        <f t="shared" si="9"/>
        <v>2169000000</v>
      </c>
      <c r="J75" s="53">
        <f t="shared" si="10"/>
        <v>0</v>
      </c>
      <c r="K75" s="53">
        <f t="shared" si="11"/>
        <v>2169000000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722</v>
      </c>
      <c r="H76" s="36">
        <f t="shared" si="8"/>
        <v>1</v>
      </c>
      <c r="I76" s="11">
        <f t="shared" si="9"/>
        <v>2163000000</v>
      </c>
      <c r="J76" s="53">
        <f t="shared" si="10"/>
        <v>0</v>
      </c>
      <c r="K76" s="53">
        <f t="shared" si="11"/>
        <v>2163000000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721</v>
      </c>
      <c r="H77" s="36">
        <f t="shared" si="8"/>
        <v>1</v>
      </c>
      <c r="I77" s="11">
        <f t="shared" si="9"/>
        <v>2160000000</v>
      </c>
      <c r="J77" s="53">
        <f t="shared" si="10"/>
        <v>0</v>
      </c>
      <c r="K77" s="53">
        <f t="shared" si="11"/>
        <v>2160000000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720</v>
      </c>
      <c r="H78" s="36">
        <f t="shared" si="8"/>
        <v>0</v>
      </c>
      <c r="I78" s="11">
        <f t="shared" si="9"/>
        <v>-2304000000</v>
      </c>
      <c r="J78" s="53">
        <f t="shared" si="10"/>
        <v>-2304000000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719</v>
      </c>
      <c r="H79" s="36">
        <f t="shared" si="8"/>
        <v>0</v>
      </c>
      <c r="I79" s="11">
        <f t="shared" si="9"/>
        <v>-575200000</v>
      </c>
      <c r="J79" s="53">
        <f t="shared" si="10"/>
        <v>-575200000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718</v>
      </c>
      <c r="H80" s="36">
        <f t="shared" si="8"/>
        <v>0</v>
      </c>
      <c r="I80" s="11">
        <f t="shared" si="9"/>
        <v>-34746174</v>
      </c>
      <c r="J80" s="53">
        <f t="shared" si="10"/>
        <v>0</v>
      </c>
      <c r="K80" s="53">
        <f t="shared" si="11"/>
        <v>-34746174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717</v>
      </c>
      <c r="H81" s="36">
        <f t="shared" si="8"/>
        <v>0</v>
      </c>
      <c r="I81" s="11">
        <f t="shared" si="9"/>
        <v>-100380000</v>
      </c>
      <c r="J81" s="53">
        <f t="shared" si="10"/>
        <v>0</v>
      </c>
      <c r="K81" s="53">
        <f t="shared" si="11"/>
        <v>-100380000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716</v>
      </c>
      <c r="H82" s="36">
        <f t="shared" si="8"/>
        <v>0</v>
      </c>
      <c r="I82" s="11">
        <f t="shared" si="9"/>
        <v>-179000000</v>
      </c>
      <c r="J82" s="53">
        <f t="shared" si="10"/>
        <v>0</v>
      </c>
      <c r="K82" s="53">
        <f t="shared" si="11"/>
        <v>-179000000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715</v>
      </c>
      <c r="H83" s="36">
        <f t="shared" si="8"/>
        <v>0</v>
      </c>
      <c r="I83" s="11">
        <f t="shared" si="9"/>
        <v>-143000000</v>
      </c>
      <c r="J83" s="53">
        <f t="shared" si="10"/>
        <v>0</v>
      </c>
      <c r="K83" s="53">
        <f t="shared" si="11"/>
        <v>-143000000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712</v>
      </c>
      <c r="H84" s="36">
        <f t="shared" si="8"/>
        <v>1</v>
      </c>
      <c r="I84" s="11">
        <f t="shared" si="9"/>
        <v>1162627200</v>
      </c>
      <c r="J84" s="53">
        <f t="shared" si="10"/>
        <v>0</v>
      </c>
      <c r="K84" s="53">
        <f t="shared" si="11"/>
        <v>1162627200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708</v>
      </c>
      <c r="H85" s="36">
        <f t="shared" si="8"/>
        <v>1</v>
      </c>
      <c r="I85" s="11">
        <f t="shared" si="9"/>
        <v>1767500000</v>
      </c>
      <c r="J85" s="53">
        <f t="shared" si="10"/>
        <v>0</v>
      </c>
      <c r="K85" s="53">
        <f t="shared" si="11"/>
        <v>1767500000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704</v>
      </c>
      <c r="H86" s="36">
        <f t="shared" si="8"/>
        <v>1</v>
      </c>
      <c r="I86" s="11">
        <f t="shared" si="9"/>
        <v>130968900</v>
      </c>
      <c r="J86" s="53">
        <f t="shared" si="10"/>
        <v>59719850</v>
      </c>
      <c r="K86" s="53">
        <f t="shared" si="11"/>
        <v>71249050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701</v>
      </c>
      <c r="H87" s="36">
        <f t="shared" si="8"/>
        <v>0</v>
      </c>
      <c r="I87" s="11">
        <f t="shared" si="9"/>
        <v>-140200000</v>
      </c>
      <c r="J87" s="53">
        <f t="shared" si="10"/>
        <v>0</v>
      </c>
      <c r="K87" s="53">
        <f t="shared" si="11"/>
        <v>-140200000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700</v>
      </c>
      <c r="H88" s="36">
        <f t="shared" si="8"/>
        <v>0</v>
      </c>
      <c r="I88" s="11">
        <f t="shared" si="9"/>
        <v>-82600000</v>
      </c>
      <c r="J88" s="53">
        <f t="shared" si="10"/>
        <v>-48300000</v>
      </c>
      <c r="K88" s="53">
        <f t="shared" si="11"/>
        <v>-34300000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692</v>
      </c>
      <c r="H89" s="36">
        <f t="shared" si="8"/>
        <v>0</v>
      </c>
      <c r="I89" s="11">
        <f t="shared" si="9"/>
        <v>-2215022800</v>
      </c>
      <c r="J89" s="53">
        <f t="shared" si="10"/>
        <v>0</v>
      </c>
      <c r="K89" s="53">
        <f t="shared" si="11"/>
        <v>-2215022800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691</v>
      </c>
      <c r="H90" s="36">
        <f t="shared" si="8"/>
        <v>0</v>
      </c>
      <c r="I90" s="11">
        <f t="shared" si="9"/>
        <v>-2211821900</v>
      </c>
      <c r="J90" s="53">
        <f t="shared" si="10"/>
        <v>0</v>
      </c>
      <c r="K90" s="53">
        <f t="shared" si="11"/>
        <v>-2211821900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690</v>
      </c>
      <c r="H91" s="36">
        <f t="shared" si="8"/>
        <v>0</v>
      </c>
      <c r="I91" s="11">
        <f t="shared" si="9"/>
        <v>-2208621000</v>
      </c>
      <c r="J91" s="53">
        <f t="shared" si="10"/>
        <v>0</v>
      </c>
      <c r="K91" s="53">
        <f t="shared" si="11"/>
        <v>-2208621000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689</v>
      </c>
      <c r="H92" s="36">
        <f t="shared" si="8"/>
        <v>0</v>
      </c>
      <c r="I92" s="11">
        <f t="shared" si="9"/>
        <v>-2205420100</v>
      </c>
      <c r="J92" s="53">
        <f t="shared" si="10"/>
        <v>0</v>
      </c>
      <c r="K92" s="53">
        <f t="shared" si="11"/>
        <v>-2205420100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688</v>
      </c>
      <c r="H93" s="36">
        <f t="shared" si="8"/>
        <v>0</v>
      </c>
      <c r="I93" s="11">
        <f t="shared" si="9"/>
        <v>-2202219200</v>
      </c>
      <c r="J93" s="53">
        <f t="shared" si="10"/>
        <v>0</v>
      </c>
      <c r="K93" s="53">
        <f t="shared" si="11"/>
        <v>-2202219200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687</v>
      </c>
      <c r="H94" s="36">
        <f t="shared" si="8"/>
        <v>0</v>
      </c>
      <c r="I94" s="11">
        <f t="shared" si="9"/>
        <v>-2199018300</v>
      </c>
      <c r="J94" s="53">
        <f t="shared" si="10"/>
        <v>0</v>
      </c>
      <c r="K94" s="53">
        <f t="shared" si="11"/>
        <v>-2199018300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685</v>
      </c>
      <c r="H95" s="36">
        <f t="shared" si="8"/>
        <v>0</v>
      </c>
      <c r="I95" s="11">
        <f t="shared" si="9"/>
        <v>-819668260</v>
      </c>
      <c r="J95" s="53">
        <f t="shared" si="10"/>
        <v>0</v>
      </c>
      <c r="K95" s="53">
        <f t="shared" si="11"/>
        <v>-819668260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675</v>
      </c>
      <c r="H96" s="36">
        <f t="shared" si="8"/>
        <v>0</v>
      </c>
      <c r="I96" s="11">
        <f t="shared" si="9"/>
        <v>-135000000</v>
      </c>
      <c r="J96" s="53">
        <f t="shared" si="10"/>
        <v>0</v>
      </c>
      <c r="K96" s="53">
        <f t="shared" si="11"/>
        <v>-135000000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674</v>
      </c>
      <c r="H97" s="36">
        <f t="shared" si="8"/>
        <v>1</v>
      </c>
      <c r="I97" s="11">
        <f t="shared" si="9"/>
        <v>107382534</v>
      </c>
      <c r="J97" s="53">
        <f t="shared" si="10"/>
        <v>46387198</v>
      </c>
      <c r="K97" s="53">
        <f t="shared" si="11"/>
        <v>60995336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669</v>
      </c>
      <c r="H98" s="36">
        <f t="shared" si="8"/>
        <v>1</v>
      </c>
      <c r="I98" s="11">
        <f t="shared" si="9"/>
        <v>76397824</v>
      </c>
      <c r="J98" s="53">
        <f t="shared" si="10"/>
        <v>0</v>
      </c>
      <c r="K98" s="53">
        <f t="shared" si="11"/>
        <v>76397824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666</v>
      </c>
      <c r="H99" s="36">
        <f t="shared" si="8"/>
        <v>0</v>
      </c>
      <c r="I99" s="11">
        <f t="shared" si="9"/>
        <v>-882450000</v>
      </c>
      <c r="J99" s="53">
        <f t="shared" si="10"/>
        <v>0</v>
      </c>
      <c r="K99" s="53">
        <f t="shared" si="11"/>
        <v>-882450000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661</v>
      </c>
      <c r="H100" s="36">
        <f t="shared" si="8"/>
        <v>1</v>
      </c>
      <c r="I100" s="11">
        <f t="shared" si="9"/>
        <v>874500000</v>
      </c>
      <c r="J100" s="53">
        <f t="shared" si="10"/>
        <v>0</v>
      </c>
      <c r="K100" s="53">
        <f t="shared" si="11"/>
        <v>874500000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644</v>
      </c>
      <c r="H101" s="36">
        <f t="shared" si="8"/>
        <v>1</v>
      </c>
      <c r="I101" s="11">
        <f t="shared" si="9"/>
        <v>42981335</v>
      </c>
      <c r="J101" s="53">
        <f t="shared" si="10"/>
        <v>42981335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641</v>
      </c>
      <c r="H102" s="36">
        <f t="shared" si="8"/>
        <v>1</v>
      </c>
      <c r="I102" s="11">
        <f t="shared" si="9"/>
        <v>1920000000</v>
      </c>
      <c r="J102" s="53">
        <f t="shared" si="10"/>
        <v>0</v>
      </c>
      <c r="K102" s="53">
        <f t="shared" si="11"/>
        <v>1920000000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634</v>
      </c>
      <c r="H103" s="36">
        <f t="shared" si="8"/>
        <v>0</v>
      </c>
      <c r="I103" s="11">
        <f t="shared" si="9"/>
        <v>-634000000</v>
      </c>
      <c r="J103" s="53">
        <f t="shared" si="10"/>
        <v>-634000000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624</v>
      </c>
      <c r="H104" s="36">
        <f t="shared" si="8"/>
        <v>1</v>
      </c>
      <c r="I104" s="11">
        <f t="shared" si="9"/>
        <v>1869000000</v>
      </c>
      <c r="J104" s="53">
        <f t="shared" si="10"/>
        <v>1869000000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623</v>
      </c>
      <c r="H105" s="36">
        <f t="shared" si="8"/>
        <v>1</v>
      </c>
      <c r="I105" s="11">
        <f t="shared" si="9"/>
        <v>696640000</v>
      </c>
      <c r="J105" s="53">
        <f t="shared" si="10"/>
        <v>696640000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623</v>
      </c>
      <c r="H106" s="36">
        <f t="shared" si="8"/>
        <v>0</v>
      </c>
      <c r="I106" s="11">
        <f t="shared" si="9"/>
        <v>-1869000000</v>
      </c>
      <c r="J106" s="53">
        <f t="shared" si="10"/>
        <v>0</v>
      </c>
      <c r="K106" s="53">
        <f t="shared" si="11"/>
        <v>-1869000000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614</v>
      </c>
      <c r="H107" s="36">
        <f t="shared" si="8"/>
        <v>1</v>
      </c>
      <c r="I107" s="11">
        <f t="shared" si="9"/>
        <v>55472822</v>
      </c>
      <c r="J107" s="53">
        <f t="shared" si="10"/>
        <v>46045495</v>
      </c>
      <c r="K107" s="53">
        <f t="shared" si="11"/>
        <v>9427327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612</v>
      </c>
      <c r="H108" s="36">
        <f t="shared" si="8"/>
        <v>0</v>
      </c>
      <c r="I108" s="11">
        <f t="shared" si="9"/>
        <v>-1040828400</v>
      </c>
      <c r="J108" s="53">
        <f t="shared" si="10"/>
        <v>0</v>
      </c>
      <c r="K108" s="53">
        <f t="shared" si="11"/>
        <v>-1040828400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608</v>
      </c>
      <c r="H109" s="36">
        <f t="shared" si="8"/>
        <v>0</v>
      </c>
      <c r="I109" s="11">
        <f t="shared" si="9"/>
        <v>-608304000</v>
      </c>
      <c r="J109" s="53">
        <f t="shared" si="10"/>
        <v>0</v>
      </c>
      <c r="K109" s="53">
        <f t="shared" si="11"/>
        <v>-608304000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605</v>
      </c>
      <c r="H110" s="36">
        <f t="shared" si="8"/>
        <v>1</v>
      </c>
      <c r="I110" s="11">
        <f t="shared" si="9"/>
        <v>12080000000</v>
      </c>
      <c r="J110" s="53">
        <f t="shared" si="10"/>
        <v>0</v>
      </c>
      <c r="K110" s="53">
        <f t="shared" si="11"/>
        <v>12080000000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585</v>
      </c>
      <c r="H111" s="36">
        <f t="shared" si="8"/>
        <v>1</v>
      </c>
      <c r="I111" s="11">
        <f t="shared" si="9"/>
        <v>102011952</v>
      </c>
      <c r="J111" s="53">
        <f t="shared" si="10"/>
        <v>51019992</v>
      </c>
      <c r="K111" s="53">
        <f t="shared" si="11"/>
        <v>50991960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569</v>
      </c>
      <c r="H112" s="36">
        <f t="shared" si="8"/>
        <v>0</v>
      </c>
      <c r="I112" s="11">
        <f t="shared" si="9"/>
        <v>-16159600000</v>
      </c>
      <c r="J112" s="53">
        <f t="shared" si="10"/>
        <v>0</v>
      </c>
      <c r="K112" s="53">
        <f t="shared" si="11"/>
        <v>-16159600000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554</v>
      </c>
      <c r="H113" s="36">
        <f t="shared" si="8"/>
        <v>1</v>
      </c>
      <c r="I113" s="11">
        <f t="shared" si="9"/>
        <v>90161120</v>
      </c>
      <c r="J113" s="53">
        <f t="shared" si="10"/>
        <v>67748583</v>
      </c>
      <c r="K113" s="53">
        <f t="shared" si="11"/>
        <v>22412537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554</v>
      </c>
      <c r="H114" s="36">
        <f t="shared" si="8"/>
        <v>0</v>
      </c>
      <c r="I114" s="11">
        <f t="shared" si="9"/>
        <v>-3157800</v>
      </c>
      <c r="J114" s="53">
        <f t="shared" si="10"/>
        <v>-1385000</v>
      </c>
      <c r="K114" s="53">
        <f t="shared" si="11"/>
        <v>-1772800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541</v>
      </c>
      <c r="H115" s="36">
        <f t="shared" si="8"/>
        <v>0</v>
      </c>
      <c r="I115" s="11">
        <f t="shared" si="9"/>
        <v>0</v>
      </c>
      <c r="J115" s="53">
        <f t="shared" si="10"/>
        <v>270500000</v>
      </c>
      <c r="K115" s="53">
        <f t="shared" si="11"/>
        <v>-270500000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533</v>
      </c>
      <c r="H116" s="36">
        <f t="shared" si="8"/>
        <v>0</v>
      </c>
      <c r="I116" s="11">
        <f t="shared" si="9"/>
        <v>-85280000</v>
      </c>
      <c r="J116" s="53">
        <f t="shared" si="10"/>
        <v>0</v>
      </c>
      <c r="K116" s="53">
        <f t="shared" si="11"/>
        <v>-85280000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524</v>
      </c>
      <c r="H117" s="36">
        <f t="shared" si="8"/>
        <v>1</v>
      </c>
      <c r="I117" s="11">
        <f t="shared" si="9"/>
        <v>774040</v>
      </c>
      <c r="J117" s="53">
        <f t="shared" si="10"/>
        <v>55930143</v>
      </c>
      <c r="K117" s="53">
        <f t="shared" si="11"/>
        <v>-55156103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502</v>
      </c>
      <c r="H118" s="36">
        <f t="shared" si="8"/>
        <v>1</v>
      </c>
      <c r="I118" s="11">
        <f t="shared" si="9"/>
        <v>19739149500</v>
      </c>
      <c r="J118" s="53">
        <f t="shared" si="10"/>
        <v>0</v>
      </c>
      <c r="K118" s="53">
        <f t="shared" si="11"/>
        <v>19739149500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493</v>
      </c>
      <c r="H119" s="36">
        <f t="shared" si="8"/>
        <v>1</v>
      </c>
      <c r="I119" s="11">
        <f t="shared" si="9"/>
        <v>46996332</v>
      </c>
      <c r="J119" s="53">
        <f t="shared" si="10"/>
        <v>54146568</v>
      </c>
      <c r="K119" s="53">
        <f t="shared" si="11"/>
        <v>-7150236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489</v>
      </c>
      <c r="H120" s="11">
        <f t="shared" si="8"/>
        <v>1</v>
      </c>
      <c r="I120" s="11">
        <f t="shared" ref="I120:I266" si="13">B120*(G120-H120)</f>
        <v>976000000</v>
      </c>
      <c r="J120" s="11">
        <f t="shared" si="10"/>
        <v>0</v>
      </c>
      <c r="K120" s="11">
        <f t="shared" si="11"/>
        <v>976000000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463</v>
      </c>
      <c r="H121" s="11">
        <f t="shared" si="8"/>
        <v>1</v>
      </c>
      <c r="I121" s="11">
        <f t="shared" si="13"/>
        <v>1201200000</v>
      </c>
      <c r="J121" s="11">
        <f t="shared" si="10"/>
        <v>0</v>
      </c>
      <c r="K121" s="11">
        <f t="shared" si="11"/>
        <v>1201200000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462</v>
      </c>
      <c r="H122" s="11">
        <f t="shared" si="8"/>
        <v>1</v>
      </c>
      <c r="I122" s="11">
        <f t="shared" si="13"/>
        <v>177278011</v>
      </c>
      <c r="J122" s="11">
        <f t="shared" si="10"/>
        <v>51128588</v>
      </c>
      <c r="K122" s="11">
        <f t="shared" si="11"/>
        <v>126149423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461</v>
      </c>
      <c r="H123" s="11">
        <f t="shared" si="8"/>
        <v>0</v>
      </c>
      <c r="I123" s="11">
        <f t="shared" si="13"/>
        <v>0</v>
      </c>
      <c r="J123" s="11">
        <f t="shared" si="10"/>
        <v>368800000</v>
      </c>
      <c r="K123" s="11">
        <f t="shared" si="11"/>
        <v>-368800000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447</v>
      </c>
      <c r="H124" s="11">
        <f t="shared" si="8"/>
        <v>0</v>
      </c>
      <c r="I124" s="11">
        <f t="shared" si="13"/>
        <v>-1341000000</v>
      </c>
      <c r="J124" s="11">
        <f t="shared" si="10"/>
        <v>0</v>
      </c>
      <c r="K124" s="11">
        <f t="shared" si="11"/>
        <v>-1341000000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432</v>
      </c>
      <c r="H125" s="11">
        <f t="shared" si="8"/>
        <v>1</v>
      </c>
      <c r="I125" s="11">
        <f t="shared" si="13"/>
        <v>172706010</v>
      </c>
      <c r="J125" s="11">
        <f t="shared" si="10"/>
        <v>51235125</v>
      </c>
      <c r="K125" s="11">
        <f t="shared" si="11"/>
        <v>121470885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432</v>
      </c>
      <c r="H126" s="11">
        <f t="shared" si="8"/>
        <v>1</v>
      </c>
      <c r="I126" s="11">
        <f t="shared" si="13"/>
        <v>18102000000</v>
      </c>
      <c r="J126" s="11">
        <f t="shared" si="10"/>
        <v>0</v>
      </c>
      <c r="K126" s="11">
        <f t="shared" si="11"/>
        <v>18102000000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407</v>
      </c>
      <c r="H127" s="11">
        <f t="shared" si="8"/>
        <v>0</v>
      </c>
      <c r="I127" s="11">
        <f t="shared" si="13"/>
        <v>-2035000</v>
      </c>
      <c r="J127" s="11">
        <f t="shared" si="10"/>
        <v>0</v>
      </c>
      <c r="K127" s="11">
        <f t="shared" si="11"/>
        <v>-2035000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401</v>
      </c>
      <c r="H128" s="11">
        <f t="shared" si="8"/>
        <v>1</v>
      </c>
      <c r="I128" s="11">
        <f t="shared" si="13"/>
        <v>308549600</v>
      </c>
      <c r="J128" s="11">
        <f t="shared" si="10"/>
        <v>48278800</v>
      </c>
      <c r="K128" s="11">
        <f t="shared" si="11"/>
        <v>260270800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398</v>
      </c>
      <c r="H129" s="11">
        <f t="shared" si="8"/>
        <v>1</v>
      </c>
      <c r="I129" s="11">
        <f t="shared" si="13"/>
        <v>992500000</v>
      </c>
      <c r="J129" s="11">
        <f t="shared" si="10"/>
        <v>0</v>
      </c>
      <c r="K129" s="11">
        <f t="shared" si="11"/>
        <v>992500000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384</v>
      </c>
      <c r="H130" s="11">
        <f t="shared" si="8"/>
        <v>0</v>
      </c>
      <c r="I130" s="11">
        <f t="shared" si="13"/>
        <v>-384000000</v>
      </c>
      <c r="J130" s="11">
        <f t="shared" si="10"/>
        <v>-384000000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379</v>
      </c>
      <c r="H131" s="11">
        <f t="shared" si="8"/>
        <v>0</v>
      </c>
      <c r="I131" s="11">
        <f t="shared" si="13"/>
        <v>-18950000000</v>
      </c>
      <c r="J131" s="11">
        <f t="shared" si="10"/>
        <v>0</v>
      </c>
      <c r="K131" s="11">
        <f t="shared" si="11"/>
        <v>-18950000000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371</v>
      </c>
      <c r="H132" s="11">
        <f t="shared" ref="H132:H266" si="15">IF(B132&gt;0,1,0)</f>
        <v>1</v>
      </c>
      <c r="I132" s="11">
        <f t="shared" si="13"/>
        <v>227286190</v>
      </c>
      <c r="J132" s="11">
        <f t="shared" ref="J132:J206" si="16">C132*(G132-H132)</f>
        <v>39209270</v>
      </c>
      <c r="K132" s="11">
        <f t="shared" ref="K132:K266" si="17">D132*(G132-H132)</f>
        <v>188076920</v>
      </c>
    </row>
    <row r="133" spans="1:13" x14ac:dyDescent="0.25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367</v>
      </c>
      <c r="H133" s="11">
        <f t="shared" si="15"/>
        <v>0</v>
      </c>
      <c r="I133" s="11">
        <f t="shared" si="13"/>
        <v>-444326900</v>
      </c>
      <c r="J133" s="11">
        <f t="shared" si="16"/>
        <v>0</v>
      </c>
      <c r="K133" s="11">
        <f t="shared" si="17"/>
        <v>-444326900</v>
      </c>
    </row>
    <row r="134" spans="1:13" x14ac:dyDescent="0.25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358</v>
      </c>
      <c r="H134" s="11">
        <f t="shared" si="15"/>
        <v>0</v>
      </c>
      <c r="I134" s="11">
        <f t="shared" si="13"/>
        <v>-23270000</v>
      </c>
      <c r="J134" s="11">
        <f t="shared" si="16"/>
        <v>0</v>
      </c>
      <c r="K134" s="11">
        <f t="shared" si="17"/>
        <v>-23270000</v>
      </c>
    </row>
    <row r="135" spans="1:13" x14ac:dyDescent="0.25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358</v>
      </c>
      <c r="H135" s="11">
        <f t="shared" si="15"/>
        <v>0</v>
      </c>
      <c r="I135" s="11">
        <f t="shared" si="13"/>
        <v>-11563400</v>
      </c>
      <c r="J135" s="11">
        <f t="shared" si="16"/>
        <v>0</v>
      </c>
      <c r="K135" s="11">
        <f t="shared" si="17"/>
        <v>-11563400</v>
      </c>
    </row>
    <row r="136" spans="1:13" x14ac:dyDescent="0.25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350</v>
      </c>
      <c r="H136" s="11">
        <f t="shared" si="15"/>
        <v>0</v>
      </c>
      <c r="I136" s="11">
        <f t="shared" si="13"/>
        <v>-350000000</v>
      </c>
      <c r="J136" s="11">
        <f t="shared" si="16"/>
        <v>-350000000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341</v>
      </c>
      <c r="H137" s="11">
        <f t="shared" si="15"/>
        <v>1</v>
      </c>
      <c r="I137" s="11">
        <f t="shared" si="13"/>
        <v>98896820</v>
      </c>
      <c r="J137" s="11">
        <f t="shared" si="16"/>
        <v>33102060</v>
      </c>
      <c r="K137" s="11">
        <f t="shared" si="17"/>
        <v>65794760</v>
      </c>
    </row>
    <row r="138" spans="1:13" x14ac:dyDescent="0.25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324</v>
      </c>
      <c r="H138" s="11">
        <f t="shared" si="15"/>
        <v>0</v>
      </c>
      <c r="I138" s="11">
        <f t="shared" si="13"/>
        <v>-324162000</v>
      </c>
      <c r="J138" s="11">
        <f t="shared" si="16"/>
        <v>-324162000</v>
      </c>
      <c r="K138" s="11">
        <f t="shared" si="17"/>
        <v>0</v>
      </c>
    </row>
    <row r="139" spans="1:13" x14ac:dyDescent="0.25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312</v>
      </c>
      <c r="H139" s="11">
        <f t="shared" si="15"/>
        <v>1</v>
      </c>
      <c r="I139" s="11">
        <f t="shared" si="13"/>
        <v>87776640</v>
      </c>
      <c r="J139" s="11">
        <f t="shared" si="16"/>
        <v>27618977</v>
      </c>
      <c r="K139" s="11">
        <f t="shared" si="17"/>
        <v>60157663</v>
      </c>
    </row>
    <row r="140" spans="1:13" x14ac:dyDescent="0.25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309</v>
      </c>
      <c r="H140" s="11">
        <f t="shared" si="15"/>
        <v>1</v>
      </c>
      <c r="I140" s="11">
        <f t="shared" si="13"/>
        <v>462000000</v>
      </c>
      <c r="J140" s="11">
        <f t="shared" si="16"/>
        <v>0</v>
      </c>
      <c r="K140" s="11">
        <f t="shared" si="17"/>
        <v>462000000</v>
      </c>
    </row>
    <row r="141" spans="1:13" x14ac:dyDescent="0.25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296</v>
      </c>
      <c r="H141" s="11">
        <f t="shared" si="15"/>
        <v>0</v>
      </c>
      <c r="I141" s="11">
        <f t="shared" si="13"/>
        <v>0</v>
      </c>
      <c r="J141" s="11">
        <f t="shared" si="16"/>
        <v>-296000000</v>
      </c>
      <c r="K141" s="11">
        <f t="shared" si="17"/>
        <v>296000000</v>
      </c>
    </row>
    <row r="142" spans="1:13" x14ac:dyDescent="0.25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282</v>
      </c>
      <c r="H142" s="11">
        <f t="shared" si="15"/>
        <v>1</v>
      </c>
      <c r="I142" s="11">
        <f t="shared" si="13"/>
        <v>81740933</v>
      </c>
      <c r="J142" s="11">
        <f t="shared" si="16"/>
        <v>22767182</v>
      </c>
      <c r="K142" s="11">
        <f t="shared" si="17"/>
        <v>58973751</v>
      </c>
    </row>
    <row r="143" spans="1:13" x14ac:dyDescent="0.25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262</v>
      </c>
      <c r="H143" s="11">
        <f t="shared" si="15"/>
        <v>0</v>
      </c>
      <c r="I143" s="11">
        <f t="shared" si="13"/>
        <v>0</v>
      </c>
      <c r="J143" s="11">
        <f t="shared" si="16"/>
        <v>-262000000</v>
      </c>
      <c r="K143" s="11">
        <f t="shared" si="17"/>
        <v>262000000</v>
      </c>
      <c r="M143" t="s">
        <v>25</v>
      </c>
    </row>
    <row r="144" spans="1:13" x14ac:dyDescent="0.25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252</v>
      </c>
      <c r="H144" s="11">
        <f t="shared" si="15"/>
        <v>1</v>
      </c>
      <c r="I144" s="11">
        <f t="shared" si="13"/>
        <v>74007852</v>
      </c>
      <c r="J144" s="11">
        <f t="shared" si="16"/>
        <v>18738907</v>
      </c>
      <c r="K144" s="11">
        <f t="shared" si="17"/>
        <v>55268945</v>
      </c>
    </row>
    <row r="145" spans="1:11" x14ac:dyDescent="0.25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237</v>
      </c>
      <c r="H145" s="11">
        <f t="shared" si="15"/>
        <v>0</v>
      </c>
      <c r="I145" s="11">
        <f t="shared" si="13"/>
        <v>-2370000</v>
      </c>
      <c r="J145" s="11">
        <f t="shared" si="16"/>
        <v>-1185000</v>
      </c>
      <c r="K145" s="11">
        <f t="shared" si="17"/>
        <v>-1185000</v>
      </c>
    </row>
    <row r="146" spans="1:11" x14ac:dyDescent="0.25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232</v>
      </c>
      <c r="H146" s="11">
        <f t="shared" si="15"/>
        <v>0</v>
      </c>
      <c r="I146" s="11">
        <f t="shared" si="13"/>
        <v>-232116000</v>
      </c>
      <c r="J146" s="11">
        <f t="shared" si="16"/>
        <v>-232116000</v>
      </c>
      <c r="K146" s="11">
        <f t="shared" si="17"/>
        <v>0</v>
      </c>
    </row>
    <row r="147" spans="1:11" x14ac:dyDescent="0.25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226</v>
      </c>
      <c r="H147" s="11">
        <f t="shared" si="15"/>
        <v>0</v>
      </c>
      <c r="I147" s="11">
        <f t="shared" si="13"/>
        <v>-6102000000</v>
      </c>
      <c r="J147" s="11">
        <f t="shared" si="16"/>
        <v>0</v>
      </c>
      <c r="K147" s="11">
        <f t="shared" si="17"/>
        <v>-6102000000</v>
      </c>
    </row>
    <row r="148" spans="1:11" x14ac:dyDescent="0.25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223</v>
      </c>
      <c r="H148" s="11">
        <f t="shared" si="15"/>
        <v>1</v>
      </c>
      <c r="I148" s="11">
        <f t="shared" si="13"/>
        <v>56040792</v>
      </c>
      <c r="J148" s="11">
        <f t="shared" si="16"/>
        <v>14543220</v>
      </c>
      <c r="K148" s="11">
        <f t="shared" si="17"/>
        <v>41497572</v>
      </c>
    </row>
    <row r="149" spans="1:11" x14ac:dyDescent="0.25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215</v>
      </c>
      <c r="H149" s="11">
        <f t="shared" si="15"/>
        <v>1</v>
      </c>
      <c r="I149" s="11">
        <f t="shared" si="13"/>
        <v>11213600000</v>
      </c>
      <c r="J149" s="11">
        <f t="shared" si="16"/>
        <v>0</v>
      </c>
      <c r="K149" s="11">
        <f t="shared" si="17"/>
        <v>11213600000</v>
      </c>
    </row>
    <row r="150" spans="1:11" x14ac:dyDescent="0.25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208</v>
      </c>
      <c r="H150" s="11">
        <f t="shared" si="15"/>
        <v>0</v>
      </c>
      <c r="I150" s="11">
        <f t="shared" si="13"/>
        <v>-10816000000</v>
      </c>
      <c r="J150" s="11">
        <f t="shared" si="16"/>
        <v>0</v>
      </c>
      <c r="K150" s="11">
        <f t="shared" si="17"/>
        <v>-10816000000</v>
      </c>
    </row>
    <row r="151" spans="1:11" x14ac:dyDescent="0.25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203</v>
      </c>
      <c r="H151" s="99">
        <f t="shared" si="15"/>
        <v>0</v>
      </c>
      <c r="I151" s="99">
        <f t="shared" si="13"/>
        <v>-1624000000</v>
      </c>
      <c r="J151" s="99">
        <f t="shared" si="16"/>
        <v>-1374742593</v>
      </c>
      <c r="K151" s="11">
        <f t="shared" si="17"/>
        <v>-249257407</v>
      </c>
    </row>
    <row r="152" spans="1:11" x14ac:dyDescent="0.25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203</v>
      </c>
      <c r="H152" s="99">
        <f t="shared" si="15"/>
        <v>0</v>
      </c>
      <c r="I152" s="99">
        <f t="shared" si="13"/>
        <v>-6339690</v>
      </c>
      <c r="J152" s="99">
        <f t="shared" si="16"/>
        <v>0</v>
      </c>
      <c r="K152" s="99">
        <f t="shared" si="17"/>
        <v>-6339690</v>
      </c>
    </row>
    <row r="153" spans="1:11" x14ac:dyDescent="0.25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192</v>
      </c>
      <c r="H153" s="99">
        <f t="shared" si="15"/>
        <v>1</v>
      </c>
      <c r="I153" s="99">
        <f t="shared" si="13"/>
        <v>25801617</v>
      </c>
      <c r="J153" s="99">
        <f t="shared" si="16"/>
        <v>7855830</v>
      </c>
      <c r="K153" s="99">
        <f t="shared" si="17"/>
        <v>17945787</v>
      </c>
    </row>
    <row r="154" spans="1:11" x14ac:dyDescent="0.25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189</v>
      </c>
      <c r="H154" s="99">
        <f t="shared" si="15"/>
        <v>1</v>
      </c>
      <c r="I154" s="99">
        <f t="shared" si="13"/>
        <v>1282927416</v>
      </c>
      <c r="J154" s="99">
        <f t="shared" si="16"/>
        <v>1282927416</v>
      </c>
      <c r="K154" s="99">
        <f t="shared" si="17"/>
        <v>0</v>
      </c>
    </row>
    <row r="155" spans="1:11" x14ac:dyDescent="0.25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184</v>
      </c>
      <c r="H155" s="99">
        <f t="shared" si="15"/>
        <v>0</v>
      </c>
      <c r="I155" s="99">
        <f t="shared" si="13"/>
        <v>-36800000</v>
      </c>
      <c r="J155" s="99">
        <f t="shared" si="16"/>
        <v>0</v>
      </c>
      <c r="K155" s="99">
        <f t="shared" si="17"/>
        <v>-36800000</v>
      </c>
    </row>
    <row r="156" spans="1:11" x14ac:dyDescent="0.25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184</v>
      </c>
      <c r="H156" s="99">
        <f t="shared" si="15"/>
        <v>0</v>
      </c>
      <c r="I156" s="99">
        <f t="shared" si="13"/>
        <v>-45602560</v>
      </c>
      <c r="J156" s="99">
        <f t="shared" si="16"/>
        <v>0</v>
      </c>
      <c r="K156" s="99">
        <f t="shared" si="17"/>
        <v>-45602560</v>
      </c>
    </row>
    <row r="157" spans="1:11" x14ac:dyDescent="0.25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183</v>
      </c>
      <c r="H157" s="99">
        <f t="shared" si="15"/>
        <v>0</v>
      </c>
      <c r="I157" s="99">
        <f t="shared" si="13"/>
        <v>-29708220</v>
      </c>
      <c r="J157" s="99">
        <f t="shared" si="16"/>
        <v>0</v>
      </c>
      <c r="K157" s="99">
        <f t="shared" si="17"/>
        <v>-29708220</v>
      </c>
    </row>
    <row r="158" spans="1:11" x14ac:dyDescent="0.25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183</v>
      </c>
      <c r="H158" s="99">
        <f t="shared" si="15"/>
        <v>0</v>
      </c>
      <c r="I158" s="99">
        <f t="shared" si="13"/>
        <v>-549164700</v>
      </c>
      <c r="J158" s="99">
        <f t="shared" si="16"/>
        <v>0</v>
      </c>
      <c r="K158" s="99">
        <f t="shared" si="17"/>
        <v>-549164700</v>
      </c>
    </row>
    <row r="159" spans="1:11" x14ac:dyDescent="0.25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181</v>
      </c>
      <c r="H159" s="99">
        <f t="shared" si="15"/>
        <v>0</v>
      </c>
      <c r="I159" s="99">
        <f t="shared" si="13"/>
        <v>-181090500</v>
      </c>
      <c r="J159" s="99">
        <f t="shared" si="16"/>
        <v>0</v>
      </c>
      <c r="K159" s="99">
        <f t="shared" si="17"/>
        <v>-181090500</v>
      </c>
    </row>
    <row r="160" spans="1:11" x14ac:dyDescent="0.25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177</v>
      </c>
      <c r="H160" s="99">
        <f t="shared" si="15"/>
        <v>0</v>
      </c>
      <c r="I160" s="99">
        <f t="shared" si="13"/>
        <v>-17700000</v>
      </c>
      <c r="J160" s="99">
        <f t="shared" si="16"/>
        <v>0</v>
      </c>
      <c r="K160" s="99">
        <f t="shared" si="17"/>
        <v>-17700000</v>
      </c>
    </row>
    <row r="161" spans="1:13" x14ac:dyDescent="0.25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176</v>
      </c>
      <c r="H161" s="99">
        <f t="shared" si="15"/>
        <v>0</v>
      </c>
      <c r="I161" s="99">
        <f t="shared" si="13"/>
        <v>-352000000</v>
      </c>
      <c r="J161" s="99">
        <f t="shared" si="16"/>
        <v>0</v>
      </c>
      <c r="K161" s="99">
        <f t="shared" si="17"/>
        <v>-352000000</v>
      </c>
    </row>
    <row r="162" spans="1:13" x14ac:dyDescent="0.25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176</v>
      </c>
      <c r="H162" s="99">
        <f t="shared" si="15"/>
        <v>0</v>
      </c>
      <c r="I162" s="99">
        <f t="shared" si="13"/>
        <v>-176088000</v>
      </c>
      <c r="J162" s="99">
        <f t="shared" si="16"/>
        <v>0</v>
      </c>
      <c r="K162" s="99">
        <f t="shared" si="17"/>
        <v>-176088000</v>
      </c>
    </row>
    <row r="163" spans="1:13" x14ac:dyDescent="0.25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173</v>
      </c>
      <c r="H163" s="99">
        <f t="shared" si="15"/>
        <v>0</v>
      </c>
      <c r="I163" s="99">
        <f t="shared" si="13"/>
        <v>-865000</v>
      </c>
      <c r="J163" s="99">
        <f t="shared" si="16"/>
        <v>0</v>
      </c>
      <c r="K163" s="99">
        <f t="shared" si="17"/>
        <v>-865000</v>
      </c>
    </row>
    <row r="164" spans="1:13" x14ac:dyDescent="0.25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163</v>
      </c>
      <c r="H164" s="99">
        <f t="shared" si="15"/>
        <v>1</v>
      </c>
      <c r="I164" s="99">
        <f t="shared" si="13"/>
        <v>486000000</v>
      </c>
      <c r="J164" s="99">
        <f t="shared" si="16"/>
        <v>0</v>
      </c>
      <c r="K164" s="99">
        <f t="shared" si="17"/>
        <v>486000000</v>
      </c>
    </row>
    <row r="165" spans="1:13" x14ac:dyDescent="0.25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162</v>
      </c>
      <c r="H165" s="99">
        <f t="shared" si="15"/>
        <v>1</v>
      </c>
      <c r="I165" s="99">
        <f t="shared" si="13"/>
        <v>483000000</v>
      </c>
      <c r="J165" s="99">
        <f t="shared" si="16"/>
        <v>0</v>
      </c>
      <c r="K165" s="99">
        <f t="shared" si="17"/>
        <v>483000000</v>
      </c>
    </row>
    <row r="166" spans="1:13" x14ac:dyDescent="0.25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161</v>
      </c>
      <c r="H166" s="99">
        <f t="shared" si="15"/>
        <v>1</v>
      </c>
      <c r="I166" s="99">
        <f t="shared" si="13"/>
        <v>3250240</v>
      </c>
      <c r="J166" s="99">
        <f t="shared" si="16"/>
        <v>9574720</v>
      </c>
      <c r="K166" s="99">
        <f t="shared" si="17"/>
        <v>-6324480</v>
      </c>
    </row>
    <row r="167" spans="1:13" x14ac:dyDescent="0.25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156</v>
      </c>
      <c r="H167" s="99">
        <f t="shared" si="15"/>
        <v>0</v>
      </c>
      <c r="I167" s="99">
        <f t="shared" si="13"/>
        <v>-468140400</v>
      </c>
      <c r="J167" s="99">
        <f t="shared" si="16"/>
        <v>0</v>
      </c>
      <c r="K167" s="99">
        <f t="shared" si="17"/>
        <v>-468140400</v>
      </c>
    </row>
    <row r="168" spans="1:13" x14ac:dyDescent="0.25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138</v>
      </c>
      <c r="H168" s="99">
        <f t="shared" si="15"/>
        <v>0</v>
      </c>
      <c r="I168" s="99">
        <f t="shared" si="13"/>
        <v>-414124200</v>
      </c>
      <c r="J168" s="99">
        <f t="shared" si="16"/>
        <v>0</v>
      </c>
      <c r="K168" s="99">
        <f t="shared" si="17"/>
        <v>-414124200</v>
      </c>
      <c r="M168" t="s">
        <v>25</v>
      </c>
    </row>
    <row r="169" spans="1:13" x14ac:dyDescent="0.25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130</v>
      </c>
      <c r="H169" s="99">
        <f t="shared" si="15"/>
        <v>1</v>
      </c>
      <c r="I169" s="99">
        <f t="shared" si="13"/>
        <v>2799945</v>
      </c>
      <c r="J169" s="99">
        <f t="shared" si="16"/>
        <v>8838435</v>
      </c>
      <c r="K169" s="99">
        <f t="shared" si="17"/>
        <v>-6038490</v>
      </c>
    </row>
    <row r="170" spans="1:13" x14ac:dyDescent="0.25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106</v>
      </c>
      <c r="H170" s="99">
        <f t="shared" si="15"/>
        <v>1</v>
      </c>
      <c r="I170" s="99">
        <f t="shared" si="13"/>
        <v>525000000</v>
      </c>
      <c r="J170" s="99">
        <f t="shared" si="16"/>
        <v>0</v>
      </c>
      <c r="K170" s="99">
        <f t="shared" si="17"/>
        <v>525000000</v>
      </c>
    </row>
    <row r="171" spans="1:13" x14ac:dyDescent="0.25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105</v>
      </c>
      <c r="H171" s="99">
        <f t="shared" si="15"/>
        <v>0</v>
      </c>
      <c r="I171" s="99">
        <f t="shared" si="13"/>
        <v>-525000000</v>
      </c>
      <c r="J171" s="99">
        <f t="shared" si="16"/>
        <v>0</v>
      </c>
      <c r="K171" s="99">
        <f t="shared" si="17"/>
        <v>-525000000</v>
      </c>
    </row>
    <row r="172" spans="1:13" x14ac:dyDescent="0.25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99</v>
      </c>
      <c r="H172" s="99">
        <f t="shared" si="15"/>
        <v>1</v>
      </c>
      <c r="I172" s="99">
        <f t="shared" si="13"/>
        <v>48608</v>
      </c>
      <c r="J172" s="99">
        <f t="shared" si="16"/>
        <v>6142738</v>
      </c>
      <c r="K172" s="99">
        <f t="shared" si="17"/>
        <v>-6094130</v>
      </c>
    </row>
    <row r="173" spans="1:13" x14ac:dyDescent="0.25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98</v>
      </c>
      <c r="H173" s="99">
        <f t="shared" si="15"/>
        <v>1</v>
      </c>
      <c r="I173" s="99">
        <f t="shared" si="13"/>
        <v>76145000</v>
      </c>
      <c r="J173" s="99">
        <f t="shared" si="16"/>
        <v>0</v>
      </c>
      <c r="K173" s="99">
        <f t="shared" si="17"/>
        <v>76145000</v>
      </c>
    </row>
    <row r="174" spans="1:13" x14ac:dyDescent="0.25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87</v>
      </c>
      <c r="H174" s="99">
        <f t="shared" si="15"/>
        <v>0</v>
      </c>
      <c r="I174" s="99">
        <f t="shared" si="13"/>
        <v>-2784000</v>
      </c>
      <c r="J174" s="99">
        <f t="shared" si="16"/>
        <v>0</v>
      </c>
      <c r="K174" s="99">
        <f t="shared" si="17"/>
        <v>-2784000</v>
      </c>
    </row>
    <row r="175" spans="1:13" x14ac:dyDescent="0.25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85</v>
      </c>
      <c r="H175" s="99">
        <f t="shared" si="15"/>
        <v>0</v>
      </c>
      <c r="I175" s="99">
        <f t="shared" si="13"/>
        <v>-63750000</v>
      </c>
      <c r="J175" s="99">
        <f t="shared" si="16"/>
        <v>0</v>
      </c>
      <c r="K175" s="99">
        <f t="shared" si="17"/>
        <v>-63750000</v>
      </c>
    </row>
    <row r="176" spans="1:13" x14ac:dyDescent="0.25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76</v>
      </c>
      <c r="H176" s="99">
        <f t="shared" si="15"/>
        <v>0</v>
      </c>
      <c r="I176" s="99">
        <f t="shared" si="13"/>
        <v>-714096</v>
      </c>
      <c r="J176" s="99">
        <f t="shared" si="16"/>
        <v>0</v>
      </c>
      <c r="K176" s="99">
        <f t="shared" si="17"/>
        <v>-714096</v>
      </c>
    </row>
    <row r="177" spans="1:14" x14ac:dyDescent="0.25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75</v>
      </c>
      <c r="H177" s="99">
        <f t="shared" si="15"/>
        <v>0</v>
      </c>
      <c r="I177" s="99">
        <f t="shared" si="13"/>
        <v>-3247500</v>
      </c>
      <c r="J177" s="99">
        <f t="shared" si="16"/>
        <v>0</v>
      </c>
      <c r="K177" s="99">
        <f t="shared" si="17"/>
        <v>-3247500</v>
      </c>
    </row>
    <row r="178" spans="1:14" x14ac:dyDescent="0.25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72</v>
      </c>
      <c r="H178" s="99">
        <f t="shared" si="15"/>
        <v>1</v>
      </c>
      <c r="I178" s="99">
        <f t="shared" si="13"/>
        <v>25560000</v>
      </c>
      <c r="J178" s="99">
        <f t="shared" si="16"/>
        <v>0</v>
      </c>
      <c r="K178" s="99">
        <f t="shared" si="17"/>
        <v>25560000</v>
      </c>
    </row>
    <row r="179" spans="1:14" x14ac:dyDescent="0.25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70</v>
      </c>
      <c r="H179" s="99">
        <f t="shared" si="15"/>
        <v>1</v>
      </c>
      <c r="I179" s="99">
        <f t="shared" si="13"/>
        <v>207000000</v>
      </c>
      <c r="J179" s="99">
        <f t="shared" si="16"/>
        <v>0</v>
      </c>
      <c r="K179" s="99">
        <f t="shared" si="17"/>
        <v>207000000</v>
      </c>
    </row>
    <row r="180" spans="1:14" x14ac:dyDescent="0.25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70</v>
      </c>
      <c r="H180" s="99">
        <f t="shared" si="15"/>
        <v>0</v>
      </c>
      <c r="I180" s="99">
        <f t="shared" si="13"/>
        <v>-843500</v>
      </c>
      <c r="J180" s="99">
        <f t="shared" si="16"/>
        <v>0</v>
      </c>
      <c r="K180" s="99">
        <f t="shared" si="17"/>
        <v>-843500</v>
      </c>
    </row>
    <row r="181" spans="1:14" x14ac:dyDescent="0.25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68</v>
      </c>
      <c r="H181" s="99">
        <f t="shared" si="15"/>
        <v>1</v>
      </c>
      <c r="I181" s="99">
        <f t="shared" si="13"/>
        <v>201000000</v>
      </c>
      <c r="J181" s="99">
        <f t="shared" si="16"/>
        <v>0</v>
      </c>
      <c r="K181" s="99">
        <f t="shared" si="17"/>
        <v>201000000</v>
      </c>
    </row>
    <row r="182" spans="1:14" x14ac:dyDescent="0.25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66</v>
      </c>
      <c r="H182" s="99">
        <f t="shared" si="15"/>
        <v>0</v>
      </c>
      <c r="I182" s="99">
        <f t="shared" si="13"/>
        <v>-2362800</v>
      </c>
      <c r="J182" s="99">
        <f t="shared" si="16"/>
        <v>0</v>
      </c>
      <c r="K182" s="99">
        <f t="shared" si="17"/>
        <v>-2362800</v>
      </c>
      <c r="N182" t="s">
        <v>25</v>
      </c>
    </row>
    <row r="183" spans="1:14" x14ac:dyDescent="0.25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65</v>
      </c>
      <c r="H183" s="99">
        <f t="shared" si="15"/>
        <v>1</v>
      </c>
      <c r="I183" s="99">
        <f t="shared" si="13"/>
        <v>230400000</v>
      </c>
      <c r="J183" s="99">
        <f t="shared" si="16"/>
        <v>0</v>
      </c>
      <c r="K183" s="99">
        <f t="shared" si="17"/>
        <v>230400000</v>
      </c>
    </row>
    <row r="184" spans="1:14" x14ac:dyDescent="0.25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65</v>
      </c>
      <c r="H184" s="99">
        <f t="shared" si="15"/>
        <v>0</v>
      </c>
      <c r="I184" s="99">
        <f t="shared" si="13"/>
        <v>-2169505</v>
      </c>
      <c r="J184" s="99">
        <f t="shared" si="16"/>
        <v>0</v>
      </c>
      <c r="K184" s="99">
        <f t="shared" si="17"/>
        <v>-2169505</v>
      </c>
    </row>
    <row r="185" spans="1:14" x14ac:dyDescent="0.25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62</v>
      </c>
      <c r="H185" s="99">
        <f t="shared" si="15"/>
        <v>0</v>
      </c>
      <c r="I185" s="99">
        <f t="shared" si="13"/>
        <v>-607600000</v>
      </c>
      <c r="J185" s="99">
        <f t="shared" si="16"/>
        <v>0</v>
      </c>
      <c r="K185" s="99">
        <f t="shared" si="17"/>
        <v>-607600000</v>
      </c>
    </row>
    <row r="186" spans="1:14" x14ac:dyDescent="0.25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62</v>
      </c>
      <c r="H186" s="99">
        <f t="shared" si="15"/>
        <v>1</v>
      </c>
      <c r="I186" s="99">
        <f t="shared" si="13"/>
        <v>1098000000</v>
      </c>
      <c r="J186" s="99">
        <f t="shared" si="16"/>
        <v>0</v>
      </c>
      <c r="K186" s="99">
        <f t="shared" si="17"/>
        <v>1098000000</v>
      </c>
    </row>
    <row r="187" spans="1:14" x14ac:dyDescent="0.25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62</v>
      </c>
      <c r="H187" s="99">
        <f t="shared" si="15"/>
        <v>0</v>
      </c>
      <c r="I187" s="99">
        <f t="shared" si="13"/>
        <v>-558000000</v>
      </c>
      <c r="J187" s="99">
        <f t="shared" si="16"/>
        <v>0</v>
      </c>
      <c r="K187" s="99">
        <f t="shared" si="17"/>
        <v>-558000000</v>
      </c>
    </row>
    <row r="188" spans="1:14" x14ac:dyDescent="0.25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62</v>
      </c>
      <c r="H188" s="99">
        <f t="shared" si="15"/>
        <v>0</v>
      </c>
      <c r="I188" s="99">
        <f t="shared" si="13"/>
        <v>-719200</v>
      </c>
      <c r="J188" s="99">
        <f t="shared" si="16"/>
        <v>0</v>
      </c>
      <c r="K188" s="99">
        <f t="shared" si="17"/>
        <v>-719200</v>
      </c>
    </row>
    <row r="189" spans="1:14" x14ac:dyDescent="0.25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62</v>
      </c>
      <c r="H189" s="99">
        <f t="shared" si="15"/>
        <v>0</v>
      </c>
      <c r="I189" s="99">
        <f t="shared" si="13"/>
        <v>-204868274</v>
      </c>
      <c r="J189" s="99">
        <f t="shared" si="16"/>
        <v>0</v>
      </c>
      <c r="K189" s="99">
        <f t="shared" si="17"/>
        <v>-204868274</v>
      </c>
    </row>
    <row r="190" spans="1:14" x14ac:dyDescent="0.25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61</v>
      </c>
      <c r="H190" s="99">
        <f t="shared" si="15"/>
        <v>0</v>
      </c>
      <c r="I190" s="99">
        <f t="shared" si="13"/>
        <v>-183054900</v>
      </c>
      <c r="J190" s="99">
        <f t="shared" si="16"/>
        <v>0</v>
      </c>
      <c r="K190" s="99">
        <f t="shared" si="17"/>
        <v>-183054900</v>
      </c>
    </row>
    <row r="191" spans="1:14" x14ac:dyDescent="0.25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60</v>
      </c>
      <c r="H191" s="99">
        <f t="shared" si="15"/>
        <v>0</v>
      </c>
      <c r="I191" s="99">
        <f t="shared" si="13"/>
        <v>-165654000</v>
      </c>
      <c r="J191" s="99">
        <f t="shared" si="16"/>
        <v>0</v>
      </c>
      <c r="K191" s="99">
        <f t="shared" si="17"/>
        <v>-165654000</v>
      </c>
    </row>
    <row r="192" spans="1:14" x14ac:dyDescent="0.25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55</v>
      </c>
      <c r="H192" s="99">
        <f t="shared" si="15"/>
        <v>1</v>
      </c>
      <c r="I192" s="99">
        <f t="shared" si="13"/>
        <v>54000000</v>
      </c>
      <c r="J192" s="99">
        <f t="shared" si="16"/>
        <v>0</v>
      </c>
      <c r="K192" s="99">
        <f t="shared" si="17"/>
        <v>54000000</v>
      </c>
    </row>
    <row r="193" spans="1:11" x14ac:dyDescent="0.25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54</v>
      </c>
      <c r="H193" s="99">
        <f t="shared" si="15"/>
        <v>0</v>
      </c>
      <c r="I193" s="99">
        <f t="shared" si="13"/>
        <v>-810000</v>
      </c>
      <c r="J193" s="99">
        <f t="shared" si="16"/>
        <v>0</v>
      </c>
      <c r="K193" s="99">
        <f t="shared" si="17"/>
        <v>-810000</v>
      </c>
    </row>
    <row r="194" spans="1:11" x14ac:dyDescent="0.25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52</v>
      </c>
      <c r="H194" s="99">
        <f t="shared" si="15"/>
        <v>0</v>
      </c>
      <c r="I194" s="99">
        <f t="shared" si="13"/>
        <v>-51480000</v>
      </c>
      <c r="J194" s="99">
        <f t="shared" si="16"/>
        <v>0</v>
      </c>
      <c r="K194" s="99">
        <f t="shared" si="17"/>
        <v>-51480000</v>
      </c>
    </row>
    <row r="195" spans="1:11" x14ac:dyDescent="0.25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52</v>
      </c>
      <c r="H195" s="99">
        <f t="shared" si="15"/>
        <v>1</v>
      </c>
      <c r="I195" s="99">
        <f t="shared" si="13"/>
        <v>39933000</v>
      </c>
      <c r="J195" s="99">
        <f t="shared" si="16"/>
        <v>0</v>
      </c>
      <c r="K195" s="99">
        <f t="shared" si="17"/>
        <v>39933000</v>
      </c>
    </row>
    <row r="196" spans="1:11" x14ac:dyDescent="0.25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50</v>
      </c>
      <c r="H196" s="99">
        <f t="shared" si="15"/>
        <v>0</v>
      </c>
      <c r="I196" s="99">
        <f t="shared" si="13"/>
        <v>-37525000</v>
      </c>
      <c r="J196" s="99">
        <f t="shared" si="16"/>
        <v>0</v>
      </c>
      <c r="K196" s="99">
        <f t="shared" si="17"/>
        <v>-37525000</v>
      </c>
    </row>
    <row r="197" spans="1:11" x14ac:dyDescent="0.25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48</v>
      </c>
      <c r="H197" s="99">
        <f t="shared" si="15"/>
        <v>1</v>
      </c>
      <c r="I197" s="99">
        <f t="shared" si="13"/>
        <v>32900000</v>
      </c>
      <c r="J197" s="99">
        <f t="shared" si="16"/>
        <v>0</v>
      </c>
      <c r="K197" s="99">
        <f t="shared" si="17"/>
        <v>32900000</v>
      </c>
    </row>
    <row r="198" spans="1:11" x14ac:dyDescent="0.25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48</v>
      </c>
      <c r="H198" s="99">
        <f t="shared" si="15"/>
        <v>0</v>
      </c>
      <c r="I198" s="99">
        <f t="shared" si="13"/>
        <v>-4752000</v>
      </c>
      <c r="J198" s="99">
        <f t="shared" si="16"/>
        <v>0</v>
      </c>
      <c r="K198" s="99">
        <f t="shared" si="17"/>
        <v>-4752000</v>
      </c>
    </row>
    <row r="199" spans="1:11" x14ac:dyDescent="0.25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47</v>
      </c>
      <c r="H199" s="99">
        <f t="shared" si="15"/>
        <v>0</v>
      </c>
      <c r="I199" s="99">
        <f t="shared" si="13"/>
        <v>-9670250</v>
      </c>
      <c r="J199" s="99">
        <f t="shared" si="16"/>
        <v>0</v>
      </c>
      <c r="K199" s="99">
        <f t="shared" si="17"/>
        <v>-9670250</v>
      </c>
    </row>
    <row r="200" spans="1:11" x14ac:dyDescent="0.25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47</v>
      </c>
      <c r="H200" s="99">
        <f t="shared" si="15"/>
        <v>0</v>
      </c>
      <c r="I200" s="99">
        <f t="shared" si="13"/>
        <v>-4465000</v>
      </c>
      <c r="J200" s="99">
        <f t="shared" si="16"/>
        <v>0</v>
      </c>
      <c r="K200" s="99">
        <f t="shared" si="17"/>
        <v>-4465000</v>
      </c>
    </row>
    <row r="201" spans="1:11" x14ac:dyDescent="0.25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44</v>
      </c>
      <c r="H201" s="99">
        <f t="shared" si="15"/>
        <v>1</v>
      </c>
      <c r="I201" s="99">
        <f t="shared" si="13"/>
        <v>2091950000</v>
      </c>
      <c r="J201" s="99">
        <f t="shared" si="16"/>
        <v>0</v>
      </c>
      <c r="K201" s="99">
        <f t="shared" si="17"/>
        <v>2091950000</v>
      </c>
    </row>
    <row r="202" spans="1:11" x14ac:dyDescent="0.25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44</v>
      </c>
      <c r="H202" s="99">
        <f t="shared" si="15"/>
        <v>0</v>
      </c>
      <c r="I202" s="99">
        <f t="shared" si="13"/>
        <v>-132039600</v>
      </c>
      <c r="J202" s="99">
        <f t="shared" si="16"/>
        <v>0</v>
      </c>
      <c r="K202" s="99">
        <f t="shared" si="17"/>
        <v>-132039600</v>
      </c>
    </row>
    <row r="203" spans="1:11" x14ac:dyDescent="0.25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44</v>
      </c>
      <c r="H203" s="99">
        <f t="shared" si="15"/>
        <v>0</v>
      </c>
      <c r="I203" s="99">
        <f t="shared" si="13"/>
        <v>-220000</v>
      </c>
      <c r="J203" s="99">
        <f t="shared" si="16"/>
        <v>0</v>
      </c>
      <c r="K203" s="99">
        <f t="shared" si="17"/>
        <v>-220000</v>
      </c>
    </row>
    <row r="204" spans="1:11" x14ac:dyDescent="0.25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44</v>
      </c>
      <c r="H204" s="99">
        <f t="shared" si="15"/>
        <v>0</v>
      </c>
      <c r="I204" s="99">
        <f t="shared" si="13"/>
        <v>-1474000000</v>
      </c>
      <c r="J204" s="99">
        <f t="shared" si="16"/>
        <v>0</v>
      </c>
      <c r="K204" s="99">
        <f t="shared" si="17"/>
        <v>-1474000000</v>
      </c>
    </row>
    <row r="205" spans="1:11" x14ac:dyDescent="0.25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43</v>
      </c>
      <c r="H205" s="99">
        <f t="shared" si="15"/>
        <v>0</v>
      </c>
      <c r="I205" s="99">
        <f t="shared" si="13"/>
        <v>-534705000</v>
      </c>
      <c r="J205" s="99">
        <f t="shared" si="16"/>
        <v>0</v>
      </c>
      <c r="K205" s="99">
        <f t="shared" si="17"/>
        <v>-534705000</v>
      </c>
    </row>
    <row r="206" spans="1:11" x14ac:dyDescent="0.25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40</v>
      </c>
      <c r="H206" s="99">
        <f t="shared" si="15"/>
        <v>0</v>
      </c>
      <c r="I206" s="99">
        <f t="shared" si="13"/>
        <v>-740000</v>
      </c>
      <c r="J206" s="99">
        <f t="shared" si="16"/>
        <v>0</v>
      </c>
      <c r="K206" s="99">
        <f t="shared" si="17"/>
        <v>-740000</v>
      </c>
    </row>
    <row r="207" spans="1:11" x14ac:dyDescent="0.25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38</v>
      </c>
      <c r="H207" s="99">
        <f t="shared" si="15"/>
        <v>1</v>
      </c>
      <c r="I207" s="99">
        <f t="shared" si="13"/>
        <v>535760</v>
      </c>
      <c r="J207" s="99">
        <f t="shared" ref="J207:J266" si="20">C207*(G207-H207)</f>
        <v>2622338</v>
      </c>
      <c r="K207" s="99">
        <f t="shared" si="17"/>
        <v>-2086578</v>
      </c>
    </row>
    <row r="208" spans="1:11" x14ac:dyDescent="0.25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37</v>
      </c>
      <c r="H208" s="99">
        <f t="shared" si="15"/>
        <v>1</v>
      </c>
      <c r="I208" s="99">
        <f t="shared" si="13"/>
        <v>29880000</v>
      </c>
      <c r="J208" s="99">
        <f t="shared" si="20"/>
        <v>0</v>
      </c>
      <c r="K208" s="99">
        <f t="shared" si="17"/>
        <v>29880000</v>
      </c>
    </row>
    <row r="209" spans="1:13" x14ac:dyDescent="0.25">
      <c r="A209" s="99" t="s">
        <v>4199</v>
      </c>
      <c r="B209" s="18">
        <v>-52440</v>
      </c>
      <c r="C209" s="18">
        <v>0</v>
      </c>
      <c r="D209" s="18">
        <f t="shared" si="18"/>
        <v>-52440</v>
      </c>
      <c r="E209" s="99" t="s">
        <v>4202</v>
      </c>
      <c r="F209" s="99">
        <v>1</v>
      </c>
      <c r="G209" s="36">
        <f t="shared" si="19"/>
        <v>35</v>
      </c>
      <c r="H209" s="99">
        <f t="shared" si="15"/>
        <v>0</v>
      </c>
      <c r="I209" s="99">
        <f t="shared" si="13"/>
        <v>-1835400</v>
      </c>
      <c r="J209" s="99">
        <f t="shared" si="20"/>
        <v>0</v>
      </c>
      <c r="K209" s="99">
        <f t="shared" si="17"/>
        <v>-1835400</v>
      </c>
    </row>
    <row r="210" spans="1:13" x14ac:dyDescent="0.25">
      <c r="A210" s="99" t="s">
        <v>4203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34</v>
      </c>
      <c r="H210" s="99">
        <f t="shared" si="15"/>
        <v>0</v>
      </c>
      <c r="I210" s="99">
        <f t="shared" si="13"/>
        <v>-1737400</v>
      </c>
      <c r="J210" s="99">
        <f t="shared" si="20"/>
        <v>0</v>
      </c>
      <c r="K210" s="99">
        <f t="shared" si="17"/>
        <v>-1737400</v>
      </c>
    </row>
    <row r="211" spans="1:13" x14ac:dyDescent="0.25">
      <c r="A211" s="99" t="s">
        <v>4204</v>
      </c>
      <c r="B211" s="18">
        <v>-200000</v>
      </c>
      <c r="C211" s="18">
        <v>0</v>
      </c>
      <c r="D211" s="18">
        <f t="shared" si="18"/>
        <v>-200000</v>
      </c>
      <c r="E211" s="99" t="s">
        <v>4205</v>
      </c>
      <c r="F211" s="99">
        <v>1</v>
      </c>
      <c r="G211" s="36">
        <f t="shared" si="19"/>
        <v>33</v>
      </c>
      <c r="H211" s="99">
        <f t="shared" si="15"/>
        <v>0</v>
      </c>
      <c r="I211" s="99">
        <f t="shared" si="13"/>
        <v>-6600000</v>
      </c>
      <c r="J211" s="99">
        <f t="shared" si="20"/>
        <v>0</v>
      </c>
      <c r="K211" s="99">
        <f t="shared" si="17"/>
        <v>-6600000</v>
      </c>
    </row>
    <row r="212" spans="1:13" x14ac:dyDescent="0.25">
      <c r="A212" s="99" t="s">
        <v>4206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32</v>
      </c>
      <c r="H212" s="99">
        <f t="shared" si="15"/>
        <v>0</v>
      </c>
      <c r="I212" s="99">
        <f t="shared" si="13"/>
        <v>-896000</v>
      </c>
      <c r="J212" s="99">
        <f t="shared" si="20"/>
        <v>0</v>
      </c>
      <c r="K212" s="99">
        <f t="shared" si="17"/>
        <v>-896000</v>
      </c>
    </row>
    <row r="213" spans="1:13" x14ac:dyDescent="0.25">
      <c r="A213" s="99" t="s">
        <v>4207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31</v>
      </c>
      <c r="H213" s="99">
        <f t="shared" si="15"/>
        <v>0</v>
      </c>
      <c r="I213" s="99">
        <f t="shared" si="13"/>
        <v>-1832100</v>
      </c>
      <c r="J213" s="99">
        <f t="shared" si="20"/>
        <v>0</v>
      </c>
      <c r="K213" s="99">
        <f t="shared" si="17"/>
        <v>-1832100</v>
      </c>
    </row>
    <row r="214" spans="1:13" x14ac:dyDescent="0.25">
      <c r="A214" s="99" t="s">
        <v>4207</v>
      </c>
      <c r="B214" s="18">
        <v>-30000</v>
      </c>
      <c r="C214" s="18">
        <v>0</v>
      </c>
      <c r="D214" s="18">
        <f t="shared" si="18"/>
        <v>-30000</v>
      </c>
      <c r="E214" s="99" t="s">
        <v>4208</v>
      </c>
      <c r="F214" s="99">
        <v>0</v>
      </c>
      <c r="G214" s="36">
        <f t="shared" si="19"/>
        <v>30</v>
      </c>
      <c r="H214" s="99">
        <f t="shared" si="15"/>
        <v>0</v>
      </c>
      <c r="I214" s="99">
        <f t="shared" si="13"/>
        <v>-900000</v>
      </c>
      <c r="J214" s="99">
        <f t="shared" si="20"/>
        <v>0</v>
      </c>
      <c r="K214" s="99">
        <f t="shared" si="17"/>
        <v>-900000</v>
      </c>
    </row>
    <row r="215" spans="1:13" x14ac:dyDescent="0.25">
      <c r="A215" s="99" t="s">
        <v>4207</v>
      </c>
      <c r="B215" s="18">
        <v>-178000</v>
      </c>
      <c r="C215" s="18">
        <v>0</v>
      </c>
      <c r="D215" s="18">
        <f t="shared" si="18"/>
        <v>-178000</v>
      </c>
      <c r="E215" s="99" t="s">
        <v>4210</v>
      </c>
      <c r="F215" s="99">
        <v>1</v>
      </c>
      <c r="G215" s="36">
        <f t="shared" si="19"/>
        <v>30</v>
      </c>
      <c r="H215" s="99">
        <f t="shared" si="15"/>
        <v>0</v>
      </c>
      <c r="I215" s="99">
        <f t="shared" si="13"/>
        <v>-5340000</v>
      </c>
      <c r="J215" s="99">
        <f t="shared" si="20"/>
        <v>0</v>
      </c>
      <c r="K215" s="99">
        <f t="shared" si="17"/>
        <v>-5340000</v>
      </c>
    </row>
    <row r="216" spans="1:13" x14ac:dyDescent="0.25">
      <c r="A216" s="99" t="s">
        <v>4212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29</v>
      </c>
      <c r="H216" s="99">
        <f t="shared" si="15"/>
        <v>0</v>
      </c>
      <c r="I216" s="99">
        <f t="shared" si="13"/>
        <v>-2772690</v>
      </c>
      <c r="J216" s="99">
        <f t="shared" si="20"/>
        <v>0</v>
      </c>
      <c r="K216" s="99">
        <f t="shared" si="17"/>
        <v>-2772690</v>
      </c>
    </row>
    <row r="217" spans="1:13" x14ac:dyDescent="0.25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26</v>
      </c>
      <c r="H217" s="99">
        <f t="shared" si="15"/>
        <v>0</v>
      </c>
      <c r="I217" s="99">
        <f t="shared" si="13"/>
        <v>-2184000</v>
      </c>
      <c r="J217" s="99">
        <f t="shared" si="20"/>
        <v>0</v>
      </c>
      <c r="K217" s="99">
        <f t="shared" si="17"/>
        <v>-2184000</v>
      </c>
    </row>
    <row r="218" spans="1:13" x14ac:dyDescent="0.25">
      <c r="A218" s="99" t="s">
        <v>4216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24</v>
      </c>
      <c r="H218" s="99">
        <f t="shared" si="15"/>
        <v>0</v>
      </c>
      <c r="I218" s="99">
        <f t="shared" si="13"/>
        <v>-792000</v>
      </c>
      <c r="J218" s="99">
        <f t="shared" si="20"/>
        <v>0</v>
      </c>
      <c r="K218" s="99">
        <f t="shared" si="17"/>
        <v>-792000</v>
      </c>
    </row>
    <row r="219" spans="1:13" x14ac:dyDescent="0.25">
      <c r="A219" s="99" t="s">
        <v>4221</v>
      </c>
      <c r="B219" s="18">
        <v>1548000</v>
      </c>
      <c r="C219" s="18">
        <v>0</v>
      </c>
      <c r="D219" s="18">
        <f t="shared" si="18"/>
        <v>1548000</v>
      </c>
      <c r="E219" s="99" t="s">
        <v>4251</v>
      </c>
      <c r="F219" s="99">
        <v>1</v>
      </c>
      <c r="G219" s="36">
        <f t="shared" si="21"/>
        <v>21</v>
      </c>
      <c r="H219" s="99">
        <f t="shared" si="15"/>
        <v>1</v>
      </c>
      <c r="I219" s="99">
        <f t="shared" si="13"/>
        <v>30960000</v>
      </c>
      <c r="J219" s="99">
        <f t="shared" si="20"/>
        <v>0</v>
      </c>
      <c r="K219" s="99">
        <f t="shared" si="17"/>
        <v>30960000</v>
      </c>
    </row>
    <row r="220" spans="1:13" x14ac:dyDescent="0.25">
      <c r="A220" s="99" t="s">
        <v>4252</v>
      </c>
      <c r="B220" s="18">
        <v>-1400700</v>
      </c>
      <c r="C220" s="18">
        <v>0</v>
      </c>
      <c r="D220" s="18">
        <f t="shared" si="18"/>
        <v>-1400700</v>
      </c>
      <c r="E220" s="99" t="s">
        <v>4253</v>
      </c>
      <c r="F220" s="99">
        <v>0</v>
      </c>
      <c r="G220" s="36">
        <f t="shared" si="21"/>
        <v>20</v>
      </c>
      <c r="H220" s="99">
        <f t="shared" si="15"/>
        <v>0</v>
      </c>
      <c r="I220" s="99">
        <f t="shared" si="13"/>
        <v>-28014000</v>
      </c>
      <c r="J220" s="99">
        <f t="shared" si="20"/>
        <v>0</v>
      </c>
      <c r="K220" s="99">
        <f t="shared" si="17"/>
        <v>-28014000</v>
      </c>
    </row>
    <row r="221" spans="1:13" x14ac:dyDescent="0.25">
      <c r="A221" s="99" t="s">
        <v>4252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20</v>
      </c>
      <c r="H221" s="99">
        <f t="shared" si="15"/>
        <v>0</v>
      </c>
      <c r="I221" s="99">
        <f t="shared" si="13"/>
        <v>-200000</v>
      </c>
      <c r="J221" s="99">
        <f t="shared" si="20"/>
        <v>0</v>
      </c>
      <c r="K221" s="99">
        <f t="shared" si="17"/>
        <v>-200000</v>
      </c>
    </row>
    <row r="222" spans="1:13" x14ac:dyDescent="0.25">
      <c r="A222" s="99" t="s">
        <v>4252</v>
      </c>
      <c r="B222" s="18">
        <v>-5000</v>
      </c>
      <c r="C222" s="18">
        <v>-2500</v>
      </c>
      <c r="D222" s="18">
        <f t="shared" si="18"/>
        <v>-2500</v>
      </c>
      <c r="E222" s="99" t="s">
        <v>4264</v>
      </c>
      <c r="F222" s="99">
        <v>6</v>
      </c>
      <c r="G222" s="36">
        <f t="shared" si="21"/>
        <v>20</v>
      </c>
      <c r="H222" s="99">
        <f t="shared" si="15"/>
        <v>0</v>
      </c>
      <c r="I222" s="99">
        <f t="shared" si="13"/>
        <v>-100000</v>
      </c>
      <c r="J222" s="99">
        <f t="shared" si="20"/>
        <v>-50000</v>
      </c>
      <c r="K222" s="99">
        <f t="shared" si="17"/>
        <v>-50000</v>
      </c>
    </row>
    <row r="223" spans="1:13" x14ac:dyDescent="0.25">
      <c r="A223" s="99" t="s">
        <v>4277</v>
      </c>
      <c r="B223" s="18">
        <v>-190000</v>
      </c>
      <c r="C223" s="18">
        <v>0</v>
      </c>
      <c r="D223" s="18">
        <f t="shared" si="18"/>
        <v>-190000</v>
      </c>
      <c r="E223" s="99" t="s">
        <v>4278</v>
      </c>
      <c r="F223" s="99">
        <v>7</v>
      </c>
      <c r="G223" s="36">
        <f t="shared" si="21"/>
        <v>14</v>
      </c>
      <c r="H223" s="99">
        <f t="shared" si="15"/>
        <v>0</v>
      </c>
      <c r="I223" s="99">
        <f t="shared" si="13"/>
        <v>-2660000</v>
      </c>
      <c r="J223" s="99">
        <f t="shared" si="20"/>
        <v>0</v>
      </c>
      <c r="K223" s="99">
        <f t="shared" si="17"/>
        <v>-2660000</v>
      </c>
      <c r="M223" t="s">
        <v>25</v>
      </c>
    </row>
    <row r="224" spans="1:13" x14ac:dyDescent="0.25">
      <c r="A224" s="99" t="s">
        <v>4323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7</v>
      </c>
      <c r="H224" s="99">
        <f t="shared" si="15"/>
        <v>1</v>
      </c>
      <c r="I224" s="99">
        <f t="shared" si="13"/>
        <v>11466</v>
      </c>
      <c r="J224" s="99">
        <f t="shared" si="20"/>
        <v>389832</v>
      </c>
      <c r="K224" s="99">
        <f t="shared" si="17"/>
        <v>-378366</v>
      </c>
      <c r="M224" t="s">
        <v>25</v>
      </c>
    </row>
    <row r="225" spans="1:13" x14ac:dyDescent="0.25">
      <c r="A225" s="99" t="s">
        <v>4356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</v>
      </c>
      <c r="H225" s="99">
        <f t="shared" si="15"/>
        <v>1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5008778</v>
      </c>
      <c r="C267" s="29">
        <f>SUM(C2:C256)</f>
        <v>7968789</v>
      </c>
      <c r="D267" s="29">
        <f>SUM(D2:D254)</f>
        <v>-2960011</v>
      </c>
      <c r="E267" s="11"/>
      <c r="F267" s="11"/>
      <c r="G267" s="11"/>
      <c r="H267" s="11"/>
      <c r="I267" s="29">
        <f>SUM(I2:I266)</f>
        <v>18781527019</v>
      </c>
      <c r="J267" s="29">
        <f>SUM(J2:J266)</f>
        <v>8352996291</v>
      </c>
      <c r="K267" s="29">
        <f>SUM(K2:K266)</f>
        <v>10428530728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20151853.024678111</v>
      </c>
      <c r="J270" s="29">
        <f>J267/G2</f>
        <v>8962442.3723175973</v>
      </c>
      <c r="K270" s="29">
        <f>K267/G2</f>
        <v>11189410.652360516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854</v>
      </c>
      <c r="D274" s="98">
        <f>D267-D151+D152</f>
        <v>-1763372</v>
      </c>
      <c r="G274" t="s">
        <v>25</v>
      </c>
      <c r="J274">
        <f>J267/I267*1448696</f>
        <v>644300.76971615886</v>
      </c>
      <c r="K274">
        <f>K267/I267*1448696</f>
        <v>804395.23028384103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799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834</v>
      </c>
    </row>
    <row r="36" spans="4:17" x14ac:dyDescent="0.25">
      <c r="D36" s="42">
        <v>-10000</v>
      </c>
      <c r="E36" s="41" t="s">
        <v>844</v>
      </c>
    </row>
    <row r="37" spans="4:17" x14ac:dyDescent="0.25">
      <c r="D37" s="7">
        <v>-180000</v>
      </c>
      <c r="E37" s="41" t="s">
        <v>849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1009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1027</v>
      </c>
    </row>
    <row r="36" spans="4:17" x14ac:dyDescent="0.25">
      <c r="D36" s="42">
        <v>245000</v>
      </c>
      <c r="E36" s="41" t="s">
        <v>1027</v>
      </c>
    </row>
    <row r="37" spans="4:17" x14ac:dyDescent="0.25">
      <c r="D37" s="7">
        <v>-25000</v>
      </c>
      <c r="E37" s="41" t="s">
        <v>1031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1129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1130</v>
      </c>
    </row>
    <row r="37" spans="4:17" x14ac:dyDescent="0.25">
      <c r="D37" s="7">
        <v>-65500</v>
      </c>
      <c r="E37" s="41" t="s">
        <v>1132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1222</v>
      </c>
    </row>
    <row r="51" spans="1:18" x14ac:dyDescent="0.25">
      <c r="D51" s="114">
        <v>1000000</v>
      </c>
      <c r="E51" s="41" t="s">
        <v>1224</v>
      </c>
    </row>
    <row r="52" spans="1:18" x14ac:dyDescent="0.25">
      <c r="D52" s="114">
        <v>910500</v>
      </c>
      <c r="E52" s="41" t="s">
        <v>1231</v>
      </c>
    </row>
    <row r="53" spans="1:18" x14ac:dyDescent="0.25">
      <c r="D53" s="114">
        <v>-300000</v>
      </c>
      <c r="E53" s="41" t="s">
        <v>1234</v>
      </c>
    </row>
    <row r="54" spans="1:18" x14ac:dyDescent="0.25">
      <c r="D54" s="114">
        <v>-58500</v>
      </c>
      <c r="E54" s="41" t="s">
        <v>1235</v>
      </c>
    </row>
    <row r="55" spans="1:18" x14ac:dyDescent="0.25">
      <c r="D55" s="114">
        <v>-1500000</v>
      </c>
      <c r="E55" s="41" t="s">
        <v>1238</v>
      </c>
    </row>
    <row r="56" spans="1:18" x14ac:dyDescent="0.25">
      <c r="D56" s="114">
        <v>-61000</v>
      </c>
      <c r="E56" s="41" t="s">
        <v>1242</v>
      </c>
    </row>
    <row r="57" spans="1:18" x14ac:dyDescent="0.25">
      <c r="D57" s="114">
        <v>1000000</v>
      </c>
      <c r="E57" s="41" t="s">
        <v>3661</v>
      </c>
    </row>
    <row r="58" spans="1:18" x14ac:dyDescent="0.25">
      <c r="D58" s="114">
        <v>200000</v>
      </c>
      <c r="E58" s="41" t="s">
        <v>3671</v>
      </c>
    </row>
    <row r="59" spans="1:18" x14ac:dyDescent="0.25">
      <c r="D59" s="114">
        <v>3000000</v>
      </c>
      <c r="E59" s="41" t="s">
        <v>3676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4177</v>
      </c>
    </row>
    <row r="84" spans="1:9" x14ac:dyDescent="0.25">
      <c r="D84" s="114">
        <v>-150000</v>
      </c>
      <c r="E84" s="41" t="s">
        <v>1220</v>
      </c>
    </row>
    <row r="85" spans="1:9" x14ac:dyDescent="0.25">
      <c r="D85" s="114">
        <v>43500</v>
      </c>
      <c r="E85" s="41" t="s">
        <v>4180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4262</v>
      </c>
      <c r="B72" s="113">
        <v>-5000</v>
      </c>
      <c r="C72" s="99" t="s">
        <v>4263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4199</v>
      </c>
      <c r="B4" s="18">
        <v>-52440</v>
      </c>
      <c r="C4" s="18">
        <v>0</v>
      </c>
      <c r="D4" s="113">
        <f t="shared" si="0"/>
        <v>-52440</v>
      </c>
      <c r="E4" s="99" t="s">
        <v>4202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4204</v>
      </c>
      <c r="B6" s="18">
        <v>-200000</v>
      </c>
      <c r="C6" s="18">
        <v>0</v>
      </c>
      <c r="D6" s="113">
        <f t="shared" si="0"/>
        <v>-200000</v>
      </c>
      <c r="E6" s="19" t="s">
        <v>4205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4206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4207</v>
      </c>
      <c r="B9" s="18">
        <v>-30000</v>
      </c>
      <c r="C9" s="18">
        <v>0</v>
      </c>
      <c r="D9" s="113">
        <f t="shared" si="0"/>
        <v>-30000</v>
      </c>
      <c r="E9" s="21" t="s">
        <v>4208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4211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4221</v>
      </c>
      <c r="B14" s="18">
        <v>1548000</v>
      </c>
      <c r="C14" s="18">
        <v>0</v>
      </c>
      <c r="D14" s="113">
        <f t="shared" si="0"/>
        <v>1548000</v>
      </c>
      <c r="E14" s="20" t="s">
        <v>4261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4262</v>
      </c>
      <c r="B16" s="18">
        <v>-5000</v>
      </c>
      <c r="C16" s="18">
        <v>-2500</v>
      </c>
      <c r="D16" s="113">
        <f t="shared" si="0"/>
        <v>-2500</v>
      </c>
      <c r="E16" s="20" t="s">
        <v>4263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4277</v>
      </c>
      <c r="B17" s="18">
        <v>-190000</v>
      </c>
      <c r="C17" s="18">
        <v>0</v>
      </c>
      <c r="D17" s="113">
        <f t="shared" si="0"/>
        <v>-190000</v>
      </c>
      <c r="E17" s="20" t="s">
        <v>4278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4323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4178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4209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4219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4259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4289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 x14ac:dyDescent="0.25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 x14ac:dyDescent="0.25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 x14ac:dyDescent="0.25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 x14ac:dyDescent="0.25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B28" sqref="B28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 x14ac:dyDescent="0.25">
      <c r="A2" s="148" t="s">
        <v>966</v>
      </c>
      <c r="B2" s="86">
        <f>$S2/(1+($B$1-$O2+$P2)/36500)^$N2</f>
        <v>77196.544967646041</v>
      </c>
      <c r="C2" s="86">
        <f t="shared" ref="C2:C20" si="0">$S2/(1+($C$1-$O2+$P2)/36500)^$N2</f>
        <v>80459.445311271556</v>
      </c>
      <c r="D2" s="86">
        <f>$S2/(1+($D$1-$O2+$P2)/36500)^$N2</f>
        <v>80876.913514477623</v>
      </c>
      <c r="E2" s="86">
        <f>$S2/(1+($E$1-$O2+$P2)/36500)^$N2</f>
        <v>81296.55353423761</v>
      </c>
      <c r="F2" s="86">
        <f>$S2/(1+($F$1-$O2+$P2)/36500)^$N2</f>
        <v>81718.376699082291</v>
      </c>
      <c r="G2" s="86">
        <f>$S2/(1+($G$1-$O2+$P2)/36500)^$N2</f>
        <v>82142.394396769989</v>
      </c>
      <c r="H2" s="86">
        <f>$S2/(1+($H$1-$O2+$P2)/36500)^$N2</f>
        <v>82568.61807463727</v>
      </c>
      <c r="I2" s="86">
        <f>$S2/(1+($I$1-$O2+$P2)/36500)^$N2</f>
        <v>82997.059239875482</v>
      </c>
      <c r="J2" s="86">
        <f>$S2/(1+($J$1-$O2+$P2)/36500)^$N2</f>
        <v>83427.729459867274</v>
      </c>
      <c r="K2" s="86">
        <f>$S2/(1+($K$1-$O2+$P2)/36500)^$N2</f>
        <v>83860.640362507547</v>
      </c>
      <c r="L2" s="86">
        <f t="shared" ref="L2:L37" si="1">$S2/(1+($AC$5-$O2+$P2)/36500)^$N2</f>
        <v>81296.55353423761</v>
      </c>
      <c r="M2" s="148" t="s">
        <v>992</v>
      </c>
      <c r="N2" s="148">
        <f>601-$AD$19</f>
        <v>378</v>
      </c>
      <c r="O2" s="148">
        <v>0</v>
      </c>
      <c r="P2" s="148">
        <v>0</v>
      </c>
      <c r="Q2" s="148">
        <v>0</v>
      </c>
      <c r="R2" s="148">
        <f t="shared" ref="R2:R37" si="2">N2/30.5</f>
        <v>12.39344262295082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 x14ac:dyDescent="0.25">
      <c r="A3" s="190" t="s">
        <v>4233</v>
      </c>
      <c r="B3" s="191">
        <f>$S3/(1+($B$1-$O3+$P3)/36500)^$N3</f>
        <v>96700.640945321022</v>
      </c>
      <c r="C3" s="191">
        <f t="shared" si="0"/>
        <v>97220.978077384629</v>
      </c>
      <c r="D3" s="191">
        <f t="shared" ref="D3:D37" si="5">$S3/(1+($D$1-$O3+$P3)/36500)^$N3</f>
        <v>97286.22079821935</v>
      </c>
      <c r="E3" s="191">
        <f t="shared" ref="E3:E37" si="6">$S3/(1+($E$1-$O3+$P3)/36500)^$N3</f>
        <v>97351.508196054492</v>
      </c>
      <c r="F3" s="191">
        <f t="shared" ref="F3:F37" si="7">$S3/(1+($F$1-$O3+$P3)/36500)^$N3</f>
        <v>97416.840302097786</v>
      </c>
      <c r="G3" s="191">
        <f t="shared" ref="G3:G37" si="8">$S3/(1+($G$1-$O3+$P3)/36500)^$N3</f>
        <v>97482.217147576128</v>
      </c>
      <c r="H3" s="191">
        <f t="shared" ref="H3:H37" si="9">$S3/(1+($H$1-$O3+$P3)/36500)^$N3</f>
        <v>97547.63876374175</v>
      </c>
      <c r="I3" s="191">
        <f t="shared" ref="I3:I37" si="10">$S3/(1+($I$1-$O3+$P3)/36500)^$N3</f>
        <v>97613.105181866675</v>
      </c>
      <c r="J3" s="191">
        <f t="shared" ref="J3:J37" si="11">$S3/(1+($J$1-$O3+$P3)/36500)^$N3</f>
        <v>97678.616433246279</v>
      </c>
      <c r="K3" s="191">
        <f t="shared" ref="K3:K37" si="12">$S3/(1+($K$1-$O3+$P3)/36500)^$N3</f>
        <v>97744.172549200041</v>
      </c>
      <c r="L3" s="191">
        <f t="shared" si="1"/>
        <v>97351.508196054492</v>
      </c>
      <c r="M3" s="190" t="s">
        <v>4242</v>
      </c>
      <c r="N3" s="190">
        <f>272-$AD$19</f>
        <v>49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967</v>
      </c>
      <c r="B4" s="88">
        <f t="shared" ref="B4:B37" si="14">$S4/(1+($B$1-$O4+$P4)/36500)^$N4</f>
        <v>78690.797647597676</v>
      </c>
      <c r="C4" s="88">
        <f t="shared" si="0"/>
        <v>81765.731791624043</v>
      </c>
      <c r="D4" s="88">
        <f t="shared" si="5"/>
        <v>82158.476759990517</v>
      </c>
      <c r="E4" s="88">
        <f t="shared" si="6"/>
        <v>82553.113614344169</v>
      </c>
      <c r="F4" s="88">
        <f t="shared" si="7"/>
        <v>82949.651494159378</v>
      </c>
      <c r="G4" s="88">
        <f t="shared" si="8"/>
        <v>83348.09958316946</v>
      </c>
      <c r="H4" s="88">
        <f t="shared" si="9"/>
        <v>83748.467109619334</v>
      </c>
      <c r="I4" s="88">
        <f t="shared" si="10"/>
        <v>84150.763346447915</v>
      </c>
      <c r="J4" s="88">
        <f t="shared" si="11"/>
        <v>84554.997611526691</v>
      </c>
      <c r="K4" s="88">
        <f t="shared" si="12"/>
        <v>84961.179267883039</v>
      </c>
      <c r="L4" s="88">
        <f t="shared" si="1"/>
        <v>82553.113614344169</v>
      </c>
      <c r="M4" s="87" t="s">
        <v>993</v>
      </c>
      <c r="N4" s="87">
        <f>573-$AD$19</f>
        <v>350</v>
      </c>
      <c r="O4" s="87">
        <v>0</v>
      </c>
      <c r="P4" s="87">
        <v>0</v>
      </c>
      <c r="Q4" s="87">
        <v>0</v>
      </c>
      <c r="R4" s="87">
        <f t="shared" si="2"/>
        <v>11.475409836065573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968</v>
      </c>
      <c r="B5" s="57">
        <f t="shared" si="14"/>
        <v>95778.120530338769</v>
      </c>
      <c r="C5" s="57">
        <f t="shared" si="0"/>
        <v>96441.251840982455</v>
      </c>
      <c r="D5" s="57">
        <f t="shared" si="5"/>
        <v>96524.470557449968</v>
      </c>
      <c r="E5" s="57">
        <f t="shared" si="6"/>
        <v>96607.762223792859</v>
      </c>
      <c r="F5" s="57">
        <f t="shared" si="7"/>
        <v>96691.126904961231</v>
      </c>
      <c r="G5" s="57">
        <f t="shared" si="8"/>
        <v>96774.564665959901</v>
      </c>
      <c r="H5" s="57">
        <f t="shared" si="9"/>
        <v>96858.075571856578</v>
      </c>
      <c r="I5" s="57">
        <f t="shared" si="10"/>
        <v>96941.659687774489</v>
      </c>
      <c r="J5" s="57">
        <f t="shared" si="11"/>
        <v>97025.317078897191</v>
      </c>
      <c r="K5" s="57">
        <f t="shared" si="12"/>
        <v>97109.047810469419</v>
      </c>
      <c r="L5" s="57">
        <f t="shared" si="1"/>
        <v>96607.762223792859</v>
      </c>
      <c r="M5" s="12" t="s">
        <v>995</v>
      </c>
      <c r="N5" s="12">
        <f>286-$AD$19</f>
        <v>63</v>
      </c>
      <c r="O5" s="12">
        <v>0</v>
      </c>
      <c r="P5" s="12">
        <v>0</v>
      </c>
      <c r="Q5" s="12">
        <v>0</v>
      </c>
      <c r="R5" s="12">
        <f t="shared" si="2"/>
        <v>2.0655737704918034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 x14ac:dyDescent="0.25">
      <c r="A6" s="148" t="s">
        <v>984</v>
      </c>
      <c r="B6" s="86">
        <f>$S6/(1+($B$1-$O6+$P6)/36500)^$N6</f>
        <v>84498.578530892337</v>
      </c>
      <c r="C6" s="86">
        <f t="shared" si="0"/>
        <v>86806.077728951743</v>
      </c>
      <c r="D6" s="86">
        <f t="shared" si="5"/>
        <v>87098.928993069087</v>
      </c>
      <c r="E6" s="86">
        <f t="shared" si="6"/>
        <v>87392.772257642049</v>
      </c>
      <c r="F6" s="86">
        <f t="shared" si="7"/>
        <v>87687.610896616985</v>
      </c>
      <c r="G6" s="86">
        <f t="shared" si="8"/>
        <v>87983.448295448048</v>
      </c>
      <c r="H6" s="86">
        <f t="shared" si="9"/>
        <v>88280.287851164554</v>
      </c>
      <c r="I6" s="86">
        <f t="shared" si="10"/>
        <v>88578.132972385545</v>
      </c>
      <c r="J6" s="86">
        <f t="shared" si="11"/>
        <v>88876.987079375511</v>
      </c>
      <c r="K6" s="86">
        <f t="shared" si="12"/>
        <v>89176.85360408781</v>
      </c>
      <c r="L6" s="86">
        <f t="shared" si="1"/>
        <v>87392.772257642049</v>
      </c>
      <c r="M6" s="148" t="s">
        <v>994</v>
      </c>
      <c r="N6" s="148">
        <f>469-$AD$19</f>
        <v>246</v>
      </c>
      <c r="O6" s="148">
        <v>0</v>
      </c>
      <c r="P6" s="148">
        <v>0</v>
      </c>
      <c r="Q6" s="148">
        <v>0</v>
      </c>
      <c r="R6" s="148">
        <f t="shared" si="2"/>
        <v>8.0655737704918025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985</v>
      </c>
      <c r="B7" s="191">
        <f t="shared" si="14"/>
        <v>84498.578530892337</v>
      </c>
      <c r="C7" s="191">
        <f t="shared" si="0"/>
        <v>86806.077728951743</v>
      </c>
      <c r="D7" s="191">
        <f t="shared" si="5"/>
        <v>87098.928993069087</v>
      </c>
      <c r="E7" s="191">
        <f t="shared" si="6"/>
        <v>87392.772257642049</v>
      </c>
      <c r="F7" s="191">
        <f t="shared" si="7"/>
        <v>87687.610896616985</v>
      </c>
      <c r="G7" s="191">
        <f t="shared" si="8"/>
        <v>87983.448295448048</v>
      </c>
      <c r="H7" s="191">
        <f t="shared" si="9"/>
        <v>88280.287851164554</v>
      </c>
      <c r="I7" s="191">
        <f t="shared" si="10"/>
        <v>88578.132972385545</v>
      </c>
      <c r="J7" s="191">
        <f t="shared" si="11"/>
        <v>88876.987079375511</v>
      </c>
      <c r="K7" s="191">
        <f t="shared" si="12"/>
        <v>89176.85360408781</v>
      </c>
      <c r="L7" s="191">
        <f t="shared" si="1"/>
        <v>87392.772257642049</v>
      </c>
      <c r="M7" s="190" t="s">
        <v>994</v>
      </c>
      <c r="N7" s="190">
        <f>469-$AD$19</f>
        <v>246</v>
      </c>
      <c r="O7" s="190">
        <v>0</v>
      </c>
      <c r="P7" s="190">
        <v>0</v>
      </c>
      <c r="Q7" s="190">
        <v>0</v>
      </c>
      <c r="R7" s="190">
        <f t="shared" si="2"/>
        <v>8.0655737704918025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986</v>
      </c>
      <c r="B8" s="88">
        <f t="shared" si="14"/>
        <v>76094.505690212565</v>
      </c>
      <c r="C8" s="88">
        <f t="shared" si="0"/>
        <v>79493.444179947925</v>
      </c>
      <c r="D8" s="88">
        <f t="shared" si="5"/>
        <v>79928.877105178122</v>
      </c>
      <c r="E8" s="88">
        <f t="shared" si="6"/>
        <v>80366.701166366431</v>
      </c>
      <c r="F8" s="88">
        <f t="shared" si="7"/>
        <v>80806.929527211934</v>
      </c>
      <c r="G8" s="88">
        <f t="shared" si="8"/>
        <v>81249.575424043243</v>
      </c>
      <c r="H8" s="88">
        <f t="shared" si="9"/>
        <v>81694.652166262575</v>
      </c>
      <c r="I8" s="88">
        <f t="shared" si="10"/>
        <v>82142.17313671195</v>
      </c>
      <c r="J8" s="88">
        <f t="shared" si="11"/>
        <v>82592.151792103745</v>
      </c>
      <c r="K8" s="88">
        <f t="shared" si="12"/>
        <v>83044.601663434718</v>
      </c>
      <c r="L8" s="88">
        <f t="shared" si="1"/>
        <v>80366.701166366431</v>
      </c>
      <c r="M8" s="87" t="s">
        <v>998</v>
      </c>
      <c r="N8" s="87">
        <f>622-$AD$19</f>
        <v>399</v>
      </c>
      <c r="O8" s="87">
        <v>0</v>
      </c>
      <c r="P8" s="87">
        <v>0</v>
      </c>
      <c r="Q8" s="87">
        <v>0</v>
      </c>
      <c r="R8" s="87">
        <f t="shared" si="2"/>
        <v>13.081967213114755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4234</v>
      </c>
      <c r="B9" s="86">
        <f t="shared" si="14"/>
        <v>97565.221443698043</v>
      </c>
      <c r="C9" s="86">
        <f t="shared" si="0"/>
        <v>97950.653219675529</v>
      </c>
      <c r="D9" s="86">
        <f t="shared" si="5"/>
        <v>97998.942105371156</v>
      </c>
      <c r="E9" s="86">
        <f t="shared" si="6"/>
        <v>98047.255458712956</v>
      </c>
      <c r="F9" s="86">
        <f t="shared" si="7"/>
        <v>98095.593292434874</v>
      </c>
      <c r="G9" s="86">
        <f t="shared" si="8"/>
        <v>98143.955619275293</v>
      </c>
      <c r="H9" s="86">
        <f t="shared" si="9"/>
        <v>98192.342451981764</v>
      </c>
      <c r="I9" s="86">
        <f t="shared" si="10"/>
        <v>98240.753803306812</v>
      </c>
      <c r="J9" s="86">
        <f t="shared" si="11"/>
        <v>98289.189686010563</v>
      </c>
      <c r="K9" s="86">
        <f t="shared" si="12"/>
        <v>98337.650112861273</v>
      </c>
      <c r="L9" s="86">
        <f t="shared" si="1"/>
        <v>98047.255458712956</v>
      </c>
      <c r="M9" s="148" t="s">
        <v>4243</v>
      </c>
      <c r="N9" s="148">
        <f>259-$AD$19</f>
        <v>36</v>
      </c>
      <c r="O9" s="148">
        <v>0</v>
      </c>
      <c r="P9" s="148">
        <v>0</v>
      </c>
      <c r="Q9" s="148">
        <v>0</v>
      </c>
      <c r="R9" s="148">
        <f t="shared" si="2"/>
        <v>1.180327868852459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987</v>
      </c>
      <c r="B10" s="191">
        <f t="shared" si="14"/>
        <v>72881.887376937259</v>
      </c>
      <c r="C10" s="191">
        <f t="shared" si="0"/>
        <v>76664.472698654368</v>
      </c>
      <c r="D10" s="191">
        <f t="shared" si="5"/>
        <v>77150.925448288035</v>
      </c>
      <c r="E10" s="191">
        <f t="shared" si="6"/>
        <v>77640.471569909481</v>
      </c>
      <c r="F10" s="191">
        <f t="shared" si="7"/>
        <v>78133.130777159065</v>
      </c>
      <c r="G10" s="191">
        <f t="shared" si="8"/>
        <v>78628.922909558605</v>
      </c>
      <c r="H10" s="191">
        <f t="shared" si="9"/>
        <v>79127.86793336393</v>
      </c>
      <c r="I10" s="191">
        <f t="shared" si="10"/>
        <v>79629.985942333806</v>
      </c>
      <c r="J10" s="191">
        <f t="shared" si="11"/>
        <v>80135.297158572692</v>
      </c>
      <c r="K10" s="191">
        <f t="shared" si="12"/>
        <v>80643.821933358748</v>
      </c>
      <c r="L10" s="191">
        <f t="shared" si="1"/>
        <v>77640.471569909481</v>
      </c>
      <c r="M10" s="190" t="s">
        <v>999</v>
      </c>
      <c r="N10" s="190">
        <f>685-$AD$19</f>
        <v>462</v>
      </c>
      <c r="O10" s="190">
        <v>0</v>
      </c>
      <c r="P10" s="190">
        <v>0</v>
      </c>
      <c r="Q10" s="190">
        <v>0</v>
      </c>
      <c r="R10" s="190">
        <f t="shared" si="2"/>
        <v>15.147540983606557</v>
      </c>
      <c r="S10" s="191">
        <v>100000</v>
      </c>
      <c r="T10" s="191">
        <v>70000</v>
      </c>
      <c r="U10" s="191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988</v>
      </c>
      <c r="B11" s="88">
        <f t="shared" si="14"/>
        <v>74292.623512583814</v>
      </c>
      <c r="C11" s="88">
        <f t="shared" si="0"/>
        <v>77909.146506958306</v>
      </c>
      <c r="D11" s="88">
        <f t="shared" si="5"/>
        <v>78373.447254762941</v>
      </c>
      <c r="E11" s="88">
        <f t="shared" si="6"/>
        <v>78840.52142361342</v>
      </c>
      <c r="F11" s="88">
        <f t="shared" si="7"/>
        <v>79310.385618388173</v>
      </c>
      <c r="G11" s="88">
        <f t="shared" si="8"/>
        <v>79783.056543588536</v>
      </c>
      <c r="H11" s="88">
        <f t="shared" si="9"/>
        <v>80258.55100398256</v>
      </c>
      <c r="I11" s="88">
        <f t="shared" si="10"/>
        <v>80736.885905168092</v>
      </c>
      <c r="J11" s="88">
        <f t="shared" si="11"/>
        <v>81218.078254204433</v>
      </c>
      <c r="K11" s="88">
        <f t="shared" si="12"/>
        <v>81702.145160228756</v>
      </c>
      <c r="L11" s="88">
        <f t="shared" si="1"/>
        <v>78840.52142361342</v>
      </c>
      <c r="M11" s="87" t="s">
        <v>1000</v>
      </c>
      <c r="N11" s="87">
        <f>657-$AD$19</f>
        <v>434</v>
      </c>
      <c r="O11" s="87">
        <v>0</v>
      </c>
      <c r="P11" s="87">
        <v>0</v>
      </c>
      <c r="Q11" s="87">
        <v>0</v>
      </c>
      <c r="R11" s="87">
        <f t="shared" si="2"/>
        <v>14.229508196721312</v>
      </c>
      <c r="S11" s="88">
        <v>100000</v>
      </c>
      <c r="T11" s="88">
        <v>70700</v>
      </c>
      <c r="U11" s="88">
        <f t="shared" si="3"/>
        <v>100000.00000000001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989</v>
      </c>
      <c r="B12" s="86">
        <f t="shared" si="14"/>
        <v>74292.623512583814</v>
      </c>
      <c r="C12" s="86">
        <f t="shared" si="0"/>
        <v>77909.146506958306</v>
      </c>
      <c r="D12" s="86">
        <f t="shared" si="5"/>
        <v>78373.447254762941</v>
      </c>
      <c r="E12" s="86">
        <f t="shared" si="6"/>
        <v>78840.52142361342</v>
      </c>
      <c r="F12" s="86">
        <f t="shared" si="7"/>
        <v>79310.385618388173</v>
      </c>
      <c r="G12" s="86">
        <f t="shared" si="8"/>
        <v>79783.056543588536</v>
      </c>
      <c r="H12" s="86">
        <f t="shared" si="9"/>
        <v>80258.55100398256</v>
      </c>
      <c r="I12" s="86">
        <f t="shared" si="10"/>
        <v>80736.885905168092</v>
      </c>
      <c r="J12" s="86">
        <f t="shared" si="11"/>
        <v>81218.078254204433</v>
      </c>
      <c r="K12" s="86">
        <f t="shared" si="12"/>
        <v>81702.145160228756</v>
      </c>
      <c r="L12" s="86">
        <f t="shared" si="1"/>
        <v>78840.52142361342</v>
      </c>
      <c r="M12" s="148" t="s">
        <v>1000</v>
      </c>
      <c r="N12" s="148">
        <f>657-$AD$19</f>
        <v>434</v>
      </c>
      <c r="O12" s="148">
        <v>0</v>
      </c>
      <c r="P12" s="148">
        <v>0</v>
      </c>
      <c r="Q12" s="148">
        <v>0</v>
      </c>
      <c r="R12" s="148">
        <f t="shared" si="2"/>
        <v>14.229508196721312</v>
      </c>
      <c r="S12" s="86">
        <v>100000</v>
      </c>
      <c r="T12" s="86">
        <v>71000</v>
      </c>
      <c r="U12" s="86">
        <f t="shared" si="3"/>
        <v>100000.00000000001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990</v>
      </c>
      <c r="B13" s="191">
        <f t="shared" si="14"/>
        <v>77196.544967646041</v>
      </c>
      <c r="C13" s="191">
        <f t="shared" si="0"/>
        <v>80459.445311271556</v>
      </c>
      <c r="D13" s="191">
        <f t="shared" si="5"/>
        <v>80876.913514477623</v>
      </c>
      <c r="E13" s="191">
        <f t="shared" si="6"/>
        <v>81296.55353423761</v>
      </c>
      <c r="F13" s="191">
        <f t="shared" si="7"/>
        <v>81718.376699082291</v>
      </c>
      <c r="G13" s="191">
        <f t="shared" si="8"/>
        <v>82142.394396769989</v>
      </c>
      <c r="H13" s="191">
        <f t="shared" si="9"/>
        <v>82568.61807463727</v>
      </c>
      <c r="I13" s="191">
        <f t="shared" si="10"/>
        <v>82997.059239875482</v>
      </c>
      <c r="J13" s="191">
        <f t="shared" si="11"/>
        <v>83427.729459867274</v>
      </c>
      <c r="K13" s="191">
        <f t="shared" si="12"/>
        <v>83860.640362507547</v>
      </c>
      <c r="L13" s="191">
        <f t="shared" si="1"/>
        <v>81296.55353423761</v>
      </c>
      <c r="M13" s="190" t="s">
        <v>992</v>
      </c>
      <c r="N13" s="190">
        <f>601-$AD$19</f>
        <v>378</v>
      </c>
      <c r="O13" s="190">
        <v>0</v>
      </c>
      <c r="P13" s="190">
        <v>0</v>
      </c>
      <c r="Q13" s="190">
        <v>0</v>
      </c>
      <c r="R13" s="190">
        <f t="shared" si="2"/>
        <v>12.39344262295082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3855</v>
      </c>
      <c r="B14" s="88">
        <f t="shared" si="14"/>
        <v>82047.03981151247</v>
      </c>
      <c r="C14" s="88">
        <f t="shared" si="0"/>
        <v>84685.468897250714</v>
      </c>
      <c r="D14" s="88">
        <f t="shared" si="5"/>
        <v>85021.203818028414</v>
      </c>
      <c r="E14" s="88">
        <f t="shared" si="6"/>
        <v>85358.274381351963</v>
      </c>
      <c r="F14" s="88">
        <f t="shared" si="7"/>
        <v>85696.685919165073</v>
      </c>
      <c r="G14" s="88">
        <f t="shared" si="8"/>
        <v>86036.443784753879</v>
      </c>
      <c r="H14" s="88">
        <f t="shared" si="9"/>
        <v>86377.553352865332</v>
      </c>
      <c r="I14" s="88">
        <f t="shared" si="10"/>
        <v>86720.020019764401</v>
      </c>
      <c r="J14" s="88">
        <f t="shared" si="11"/>
        <v>87063.849203338759</v>
      </c>
      <c r="K14" s="88">
        <f t="shared" si="12"/>
        <v>87409.046343190101</v>
      </c>
      <c r="L14" s="88">
        <f t="shared" si="1"/>
        <v>85358.274381351963</v>
      </c>
      <c r="M14" s="87" t="s">
        <v>3856</v>
      </c>
      <c r="N14" s="87">
        <f>512-$AD$19</f>
        <v>289</v>
      </c>
      <c r="O14" s="87">
        <v>0</v>
      </c>
      <c r="P14" s="87">
        <v>0</v>
      </c>
      <c r="Q14" s="87">
        <v>0</v>
      </c>
      <c r="R14" s="87">
        <f t="shared" si="2"/>
        <v>9.4754098360655732</v>
      </c>
      <c r="S14" s="88">
        <v>100000</v>
      </c>
      <c r="T14" s="88">
        <v>50000</v>
      </c>
      <c r="U14" s="88">
        <f>B14*(1+$AC$2/36500)^N14</f>
        <v>99999.999999999985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3909</v>
      </c>
      <c r="B15" s="57">
        <f t="shared" si="14"/>
        <v>63685.367788637872</v>
      </c>
      <c r="C15" s="57">
        <f t="shared" si="0"/>
        <v>68451.709782546895</v>
      </c>
      <c r="D15" s="57">
        <f t="shared" si="5"/>
        <v>69072.093891974902</v>
      </c>
      <c r="E15" s="57">
        <f t="shared" si="6"/>
        <v>69698.109208749011</v>
      </c>
      <c r="F15" s="57">
        <f t="shared" si="7"/>
        <v>70329.806925327648</v>
      </c>
      <c r="G15" s="57">
        <f t="shared" si="8"/>
        <v>70967.238700232381</v>
      </c>
      <c r="H15" s="57">
        <f t="shared" si="9"/>
        <v>71610.456662358178</v>
      </c>
      <c r="I15" s="57">
        <f t="shared" si="10"/>
        <v>72259.51341520829</v>
      </c>
      <c r="J15" s="57">
        <f t="shared" si="11"/>
        <v>72914.462041256425</v>
      </c>
      <c r="K15" s="57">
        <f t="shared" si="12"/>
        <v>73575.356106322826</v>
      </c>
      <c r="L15" s="57">
        <f t="shared" si="1"/>
        <v>69698.109208749011</v>
      </c>
      <c r="M15" s="12" t="s">
        <v>3910</v>
      </c>
      <c r="N15" s="12">
        <f>882-$AD$19</f>
        <v>659</v>
      </c>
      <c r="O15" s="12">
        <v>0</v>
      </c>
      <c r="P15" s="12">
        <v>0</v>
      </c>
      <c r="Q15" s="12">
        <v>0</v>
      </c>
      <c r="R15" s="12">
        <f t="shared" si="2"/>
        <v>21.606557377049182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3958</v>
      </c>
      <c r="B16" s="86">
        <f t="shared" si="14"/>
        <v>62476.051904993583</v>
      </c>
      <c r="C16" s="86">
        <f t="shared" si="0"/>
        <v>67358.127653619988</v>
      </c>
      <c r="D16" s="86">
        <f t="shared" si="5"/>
        <v>67994.660858726638</v>
      </c>
      <c r="E16" s="86">
        <f t="shared" si="6"/>
        <v>68637.218130796944</v>
      </c>
      <c r="F16" s="86">
        <f t="shared" si="7"/>
        <v>69285.856564476635</v>
      </c>
      <c r="G16" s="86">
        <f t="shared" si="8"/>
        <v>69940.633796302471</v>
      </c>
      <c r="H16" s="86">
        <f t="shared" si="9"/>
        <v>70601.608009915188</v>
      </c>
      <c r="I16" s="86">
        <f t="shared" si="10"/>
        <v>71268.837941204183</v>
      </c>
      <c r="J16" s="86">
        <f t="shared" si="11"/>
        <v>71942.382883592523</v>
      </c>
      <c r="K16" s="86">
        <f t="shared" si="12"/>
        <v>72622.302693345162</v>
      </c>
      <c r="L16" s="86">
        <f t="shared" si="1"/>
        <v>68637.218130796944</v>
      </c>
      <c r="M16" s="148" t="s">
        <v>4220</v>
      </c>
      <c r="N16" s="148">
        <f>910-$AD$19</f>
        <v>687</v>
      </c>
      <c r="O16" s="148">
        <v>0</v>
      </c>
      <c r="P16" s="148">
        <v>0</v>
      </c>
      <c r="Q16" s="148">
        <v>0</v>
      </c>
      <c r="R16" s="148">
        <f t="shared" si="2"/>
        <v>22.524590163934427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4235</v>
      </c>
      <c r="B17" s="191">
        <f t="shared" si="14"/>
        <v>97098.721940649513</v>
      </c>
      <c r="C17" s="191">
        <f t="shared" si="0"/>
        <v>97557.073321153264</v>
      </c>
      <c r="D17" s="191">
        <f t="shared" si="5"/>
        <v>97614.522705318159</v>
      </c>
      <c r="E17" s="191">
        <f t="shared" si="6"/>
        <v>97672.00670749729</v>
      </c>
      <c r="F17" s="191">
        <f t="shared" si="7"/>
        <v>97729.525349026546</v>
      </c>
      <c r="G17" s="191">
        <f t="shared" si="8"/>
        <v>97787.078651252508</v>
      </c>
      <c r="H17" s="191">
        <f t="shared" si="9"/>
        <v>97844.666635538088</v>
      </c>
      <c r="I17" s="191">
        <f t="shared" si="10"/>
        <v>97902.289323257239</v>
      </c>
      <c r="J17" s="191">
        <f t="shared" si="11"/>
        <v>97959.946735798527</v>
      </c>
      <c r="K17" s="191">
        <f t="shared" si="12"/>
        <v>98017.63889456552</v>
      </c>
      <c r="L17" s="191">
        <f t="shared" si="1"/>
        <v>97672.00670749729</v>
      </c>
      <c r="M17" s="190" t="s">
        <v>4244</v>
      </c>
      <c r="N17" s="190">
        <f>266-$AD$19</f>
        <v>43</v>
      </c>
      <c r="O17" s="190">
        <v>0</v>
      </c>
      <c r="P17" s="190">
        <v>0</v>
      </c>
      <c r="Q17" s="190">
        <v>0</v>
      </c>
      <c r="R17" s="190">
        <f t="shared" si="2"/>
        <v>1.4098360655737705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4236</v>
      </c>
      <c r="B18" s="88">
        <f t="shared" si="14"/>
        <v>94864.400924821006</v>
      </c>
      <c r="C18" s="88">
        <f t="shared" si="0"/>
        <v>95667.77912121579</v>
      </c>
      <c r="D18" s="88">
        <f t="shared" si="5"/>
        <v>95768.684814268781</v>
      </c>
      <c r="E18" s="88">
        <f t="shared" si="6"/>
        <v>95869.698321398551</v>
      </c>
      <c r="F18" s="88">
        <f t="shared" si="7"/>
        <v>95970.819759281323</v>
      </c>
      <c r="G18" s="88">
        <f t="shared" si="8"/>
        <v>96072.049244716269</v>
      </c>
      <c r="H18" s="88">
        <f t="shared" si="9"/>
        <v>96173.386894635507</v>
      </c>
      <c r="I18" s="88">
        <f t="shared" si="10"/>
        <v>96274.8328260954</v>
      </c>
      <c r="J18" s="88">
        <f t="shared" si="11"/>
        <v>96376.387156282246</v>
      </c>
      <c r="K18" s="88">
        <f t="shared" si="12"/>
        <v>96478.050002513643</v>
      </c>
      <c r="L18" s="88">
        <f t="shared" si="1"/>
        <v>95869.698321398551</v>
      </c>
      <c r="M18" s="87" t="s">
        <v>4245</v>
      </c>
      <c r="N18" s="87">
        <f>300-$AD$19</f>
        <v>77</v>
      </c>
      <c r="O18" s="87">
        <v>0</v>
      </c>
      <c r="P18" s="87">
        <v>0</v>
      </c>
      <c r="Q18" s="87">
        <v>0</v>
      </c>
      <c r="R18" s="87">
        <f t="shared" si="2"/>
        <v>2.5245901639344264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 x14ac:dyDescent="0.25">
      <c r="A19" s="12" t="s">
        <v>4237</v>
      </c>
      <c r="B19" s="57">
        <f t="shared" si="14"/>
        <v>57626.876345252473</v>
      </c>
      <c r="C19" s="57">
        <f t="shared" si="0"/>
        <v>62938.161767652789</v>
      </c>
      <c r="D19" s="57">
        <f t="shared" si="5"/>
        <v>63635.648029162148</v>
      </c>
      <c r="E19" s="57">
        <f t="shared" si="6"/>
        <v>64340.87360338826</v>
      </c>
      <c r="F19" s="57">
        <f t="shared" si="7"/>
        <v>65053.924473546358</v>
      </c>
      <c r="G19" s="57">
        <f t="shared" si="8"/>
        <v>65774.887579281742</v>
      </c>
      <c r="H19" s="57">
        <f t="shared" si="9"/>
        <v>66503.850827390546</v>
      </c>
      <c r="I19" s="57">
        <f t="shared" si="10"/>
        <v>67240.903102530501</v>
      </c>
      <c r="J19" s="57">
        <f t="shared" si="11"/>
        <v>67986.13427815093</v>
      </c>
      <c r="K19" s="57">
        <f t="shared" si="12"/>
        <v>68739.63522751609</v>
      </c>
      <c r="L19" s="57">
        <f t="shared" si="1"/>
        <v>64340.87360338826</v>
      </c>
      <c r="M19" s="12" t="s">
        <v>4246</v>
      </c>
      <c r="N19" s="12">
        <f>1028-$AD$19</f>
        <v>805</v>
      </c>
      <c r="O19" s="12">
        <v>0</v>
      </c>
      <c r="P19" s="12">
        <v>0</v>
      </c>
      <c r="Q19" s="12">
        <v>0</v>
      </c>
      <c r="R19" s="12">
        <f t="shared" si="2"/>
        <v>26.393442622950818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223</v>
      </c>
      <c r="AF19" s="26"/>
    </row>
    <row r="20" spans="1:32" ht="22.5" customHeight="1" x14ac:dyDescent="0.25">
      <c r="A20" s="148" t="s">
        <v>4238</v>
      </c>
      <c r="B20" s="86">
        <f t="shared" si="14"/>
        <v>82047.03981151247</v>
      </c>
      <c r="C20" s="86">
        <f t="shared" si="0"/>
        <v>84685.468897250714</v>
      </c>
      <c r="D20" s="86">
        <f t="shared" si="5"/>
        <v>85021.203818028414</v>
      </c>
      <c r="E20" s="86">
        <f t="shared" si="6"/>
        <v>85358.274381351963</v>
      </c>
      <c r="F20" s="86">
        <f t="shared" si="7"/>
        <v>85696.685919165073</v>
      </c>
      <c r="G20" s="86">
        <f t="shared" si="8"/>
        <v>86036.443784753879</v>
      </c>
      <c r="H20" s="86">
        <f t="shared" si="9"/>
        <v>86377.553352865332</v>
      </c>
      <c r="I20" s="86">
        <f t="shared" si="10"/>
        <v>86720.020019764401</v>
      </c>
      <c r="J20" s="86">
        <f t="shared" si="11"/>
        <v>87063.849203338759</v>
      </c>
      <c r="K20" s="86">
        <f t="shared" si="12"/>
        <v>87409.046343190101</v>
      </c>
      <c r="L20" s="86">
        <f t="shared" si="1"/>
        <v>85358.274381351963</v>
      </c>
      <c r="M20" s="148" t="s">
        <v>3856</v>
      </c>
      <c r="N20" s="148">
        <f>512-$AD$19</f>
        <v>289</v>
      </c>
      <c r="O20" s="148">
        <v>0</v>
      </c>
      <c r="P20" s="148">
        <v>0</v>
      </c>
      <c r="Q20" s="148">
        <v>0</v>
      </c>
      <c r="R20" s="148">
        <f t="shared" si="2"/>
        <v>9.4754098360655732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4239</v>
      </c>
      <c r="B21" s="191">
        <f t="shared" si="14"/>
        <v>65274.661243288188</v>
      </c>
      <c r="C21" s="191">
        <f>$S21/(1+($C$1-$O21+$P21)/36500)^$N21</f>
        <v>69883.87267722364</v>
      </c>
      <c r="D21" s="191">
        <f t="shared" si="5"/>
        <v>70482.48930861587</v>
      </c>
      <c r="E21" s="191">
        <f t="shared" si="6"/>
        <v>71086.24191739707</v>
      </c>
      <c r="F21" s="191">
        <f t="shared" si="7"/>
        <v>71695.174640175683</v>
      </c>
      <c r="G21" s="191">
        <f t="shared" si="8"/>
        <v>72309.331993436135</v>
      </c>
      <c r="H21" s="191">
        <f t="shared" si="9"/>
        <v>72928.758876872002</v>
      </c>
      <c r="I21" s="191">
        <f t="shared" si="10"/>
        <v>73553.500576637482</v>
      </c>
      <c r="J21" s="191">
        <f t="shared" si="11"/>
        <v>74183.602768712532</v>
      </c>
      <c r="K21" s="191">
        <f t="shared" si="12"/>
        <v>74819.111522271516</v>
      </c>
      <c r="L21" s="191">
        <f t="shared" si="1"/>
        <v>71086.24191739707</v>
      </c>
      <c r="M21" s="190" t="s">
        <v>4247</v>
      </c>
      <c r="N21" s="190">
        <f>846-$AD$19</f>
        <v>623</v>
      </c>
      <c r="O21" s="190">
        <v>0</v>
      </c>
      <c r="P21" s="190">
        <v>0</v>
      </c>
      <c r="Q21" s="190">
        <v>0</v>
      </c>
      <c r="R21" s="190">
        <f t="shared" si="2"/>
        <v>20.42622950819672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4303</v>
      </c>
      <c r="B22" s="191">
        <f t="shared" si="14"/>
        <v>78636.936732027825</v>
      </c>
      <c r="C22" s="191">
        <f>$S22/(1+($C$1-$O22+$P22)/36500)^$N22</f>
        <v>81718.715544324572</v>
      </c>
      <c r="D22" s="191">
        <f t="shared" si="5"/>
        <v>82112.358859808955</v>
      </c>
      <c r="E22" s="191">
        <f t="shared" si="6"/>
        <v>82507.903804040572</v>
      </c>
      <c r="F22" s="191">
        <f t="shared" si="7"/>
        <v>82905.359589721047</v>
      </c>
      <c r="G22" s="191">
        <f t="shared" si="8"/>
        <v>83304.735474292407</v>
      </c>
      <c r="H22" s="191">
        <f t="shared" si="9"/>
        <v>83706.040760192947</v>
      </c>
      <c r="I22" s="191">
        <f t="shared" si="10"/>
        <v>84109.284795042171</v>
      </c>
      <c r="J22" s="191">
        <f t="shared" si="11"/>
        <v>84514.476971882657</v>
      </c>
      <c r="K22" s="191">
        <f t="shared" si="12"/>
        <v>84921.6267294063</v>
      </c>
      <c r="L22" s="191">
        <f t="shared" si="1"/>
        <v>82507.903804040572</v>
      </c>
      <c r="M22" s="190" t="s">
        <v>4304</v>
      </c>
      <c r="N22" s="190">
        <f>574-$AD$19</f>
        <v>351</v>
      </c>
      <c r="O22" s="190">
        <v>0</v>
      </c>
      <c r="P22" s="190"/>
      <c r="Q22" s="190">
        <v>0</v>
      </c>
      <c r="R22" s="190">
        <f t="shared" si="2"/>
        <v>11.508196721311476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4240</v>
      </c>
      <c r="B23" s="88">
        <f t="shared" si="14"/>
        <v>83406.435293795104</v>
      </c>
      <c r="C23" s="88">
        <f t="shared" ref="C23:C37" si="16">$S23/(1+($C$1-$O23+$P23)/36500)^$N23</f>
        <v>85862.594124146883</v>
      </c>
      <c r="D23" s="88">
        <f t="shared" si="5"/>
        <v>86174.675793618313</v>
      </c>
      <c r="E23" s="88">
        <f t="shared" si="6"/>
        <v>86487.896071092226</v>
      </c>
      <c r="F23" s="88">
        <f t="shared" si="7"/>
        <v>86802.259126381119</v>
      </c>
      <c r="G23" s="88">
        <f t="shared" si="8"/>
        <v>87117.769144610516</v>
      </c>
      <c r="H23" s="88">
        <f t="shared" si="9"/>
        <v>87434.430326305635</v>
      </c>
      <c r="I23" s="88">
        <f t="shared" si="10"/>
        <v>87752.246887421134</v>
      </c>
      <c r="J23" s="88">
        <f t="shared" si="11"/>
        <v>88071.22305941509</v>
      </c>
      <c r="K23" s="88">
        <f t="shared" si="12"/>
        <v>88391.363089310107</v>
      </c>
      <c r="L23" s="88">
        <f t="shared" si="1"/>
        <v>86487.896071092226</v>
      </c>
      <c r="M23" s="87" t="s">
        <v>4248</v>
      </c>
      <c r="N23" s="87">
        <f>488-$AD$19</f>
        <v>265</v>
      </c>
      <c r="O23" s="87">
        <v>0</v>
      </c>
      <c r="P23" s="87">
        <v>0</v>
      </c>
      <c r="Q23" s="87">
        <v>0</v>
      </c>
      <c r="R23" s="87">
        <f t="shared" si="2"/>
        <v>8.6885245901639347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 x14ac:dyDescent="0.25">
      <c r="A24" s="148" t="s">
        <v>4241</v>
      </c>
      <c r="B24" s="86">
        <f t="shared" si="14"/>
        <v>81654.739125547654</v>
      </c>
      <c r="C24" s="86">
        <f t="shared" si="16"/>
        <v>84345.190428865812</v>
      </c>
      <c r="D24" s="86">
        <f t="shared" si="5"/>
        <v>84687.692052887418</v>
      </c>
      <c r="E24" s="86">
        <f t="shared" si="6"/>
        <v>85031.589195543638</v>
      </c>
      <c r="F24" s="86">
        <f t="shared" si="7"/>
        <v>85376.887562088858</v>
      </c>
      <c r="G24" s="86">
        <f t="shared" si="8"/>
        <v>85723.592881164121</v>
      </c>
      <c r="H24" s="86">
        <f t="shared" si="9"/>
        <v>86071.710904926455</v>
      </c>
      <c r="I24" s="86">
        <f t="shared" si="10"/>
        <v>86421.247409116011</v>
      </c>
      <c r="J24" s="86">
        <f t="shared" si="11"/>
        <v>86772.208193171769</v>
      </c>
      <c r="K24" s="86">
        <f t="shared" si="12"/>
        <v>87124.599080333486</v>
      </c>
      <c r="L24" s="86">
        <f t="shared" si="1"/>
        <v>85031.589195543638</v>
      </c>
      <c r="M24" s="148" t="s">
        <v>4249</v>
      </c>
      <c r="N24" s="148">
        <f>519-$AD$19</f>
        <v>296</v>
      </c>
      <c r="O24" s="148">
        <v>0</v>
      </c>
      <c r="P24" s="148">
        <v>0</v>
      </c>
      <c r="Q24" s="148">
        <v>0</v>
      </c>
      <c r="R24" s="148">
        <f t="shared" si="2"/>
        <v>9.7049180327868854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1004</v>
      </c>
      <c r="B25" s="191">
        <f t="shared" si="14"/>
        <v>75983.67234244541</v>
      </c>
      <c r="C25" s="191">
        <f t="shared" si="16"/>
        <v>86414.282209618294</v>
      </c>
      <c r="D25" s="191">
        <f t="shared" si="5"/>
        <v>87815.082407576105</v>
      </c>
      <c r="E25" s="191">
        <f t="shared" si="6"/>
        <v>89238.609632159729</v>
      </c>
      <c r="F25" s="191">
        <f t="shared" si="7"/>
        <v>90685.232932706043</v>
      </c>
      <c r="G25" s="191">
        <f t="shared" si="8"/>
        <v>92155.327356561058</v>
      </c>
      <c r="H25" s="191">
        <f t="shared" si="9"/>
        <v>93649.274046579536</v>
      </c>
      <c r="I25" s="191">
        <f t="shared" si="10"/>
        <v>95167.460340142541</v>
      </c>
      <c r="J25" s="191">
        <f t="shared" si="11"/>
        <v>96710.279870216342</v>
      </c>
      <c r="K25" s="191">
        <f t="shared" si="12"/>
        <v>98278.132667455066</v>
      </c>
      <c r="L25" s="191">
        <f t="shared" si="1"/>
        <v>89238.609632159729</v>
      </c>
      <c r="M25" s="190" t="s">
        <v>1005</v>
      </c>
      <c r="N25" s="190">
        <f>1397-$AD$19</f>
        <v>1174</v>
      </c>
      <c r="O25" s="190">
        <v>17</v>
      </c>
      <c r="P25" s="190">
        <f>$AI$2</f>
        <v>0.54</v>
      </c>
      <c r="Q25" s="190">
        <v>6</v>
      </c>
      <c r="R25" s="190">
        <f t="shared" si="2"/>
        <v>38.491803278688522</v>
      </c>
      <c r="S25" s="191">
        <v>100000</v>
      </c>
      <c r="T25" s="191">
        <v>96000</v>
      </c>
      <c r="U25" s="191">
        <f t="shared" si="3"/>
        <v>169754.42168722363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961</v>
      </c>
      <c r="B26" s="88">
        <f t="shared" si="14"/>
        <v>95869.851851027546</v>
      </c>
      <c r="C26" s="88">
        <f t="shared" si="16"/>
        <v>99520.022001595702</v>
      </c>
      <c r="D26" s="88">
        <f t="shared" si="5"/>
        <v>99985.987286123665</v>
      </c>
      <c r="E26" s="88">
        <f t="shared" si="6"/>
        <v>100454.1407068343</v>
      </c>
      <c r="F26" s="88">
        <f t="shared" si="7"/>
        <v>100924.49256923469</v>
      </c>
      <c r="G26" s="88">
        <f t="shared" si="8"/>
        <v>101397.05322750102</v>
      </c>
      <c r="H26" s="88">
        <f t="shared" si="9"/>
        <v>101871.83308472596</v>
      </c>
      <c r="I26" s="88">
        <f t="shared" si="10"/>
        <v>102348.84259312818</v>
      </c>
      <c r="J26" s="88">
        <f t="shared" si="11"/>
        <v>102828.09225431785</v>
      </c>
      <c r="K26" s="88">
        <f t="shared" si="12"/>
        <v>103309.59261950325</v>
      </c>
      <c r="L26" s="88">
        <f t="shared" si="1"/>
        <v>100454.1407068343</v>
      </c>
      <c r="M26" s="87" t="s">
        <v>976</v>
      </c>
      <c r="N26" s="87">
        <f>564-$AD$19</f>
        <v>341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11.180327868852459</v>
      </c>
      <c r="S26" s="88">
        <v>100000</v>
      </c>
      <c r="T26" s="88">
        <v>100000</v>
      </c>
      <c r="U26" s="88">
        <f t="shared" si="3"/>
        <v>121082.63607340386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962</v>
      </c>
      <c r="B27" s="57">
        <f t="shared" si="14"/>
        <v>91090.830186725812</v>
      </c>
      <c r="C27" s="57">
        <f t="shared" si="16"/>
        <v>94734.850630431756</v>
      </c>
      <c r="D27" s="57">
        <f t="shared" si="5"/>
        <v>95200.514449474111</v>
      </c>
      <c r="E27" s="57">
        <f t="shared" si="6"/>
        <v>95668.473637985589</v>
      </c>
      <c r="F27" s="57">
        <f t="shared" si="7"/>
        <v>96138.739542050927</v>
      </c>
      <c r="G27" s="57">
        <f t="shared" si="8"/>
        <v>96611.323564028906</v>
      </c>
      <c r="H27" s="57">
        <f t="shared" si="9"/>
        <v>97086.237162771053</v>
      </c>
      <c r="I27" s="57">
        <f t="shared" si="10"/>
        <v>97563.491853948013</v>
      </c>
      <c r="J27" s="57">
        <f t="shared" si="11"/>
        <v>98043.099210316796</v>
      </c>
      <c r="K27" s="57">
        <f t="shared" si="12"/>
        <v>98525.070861982793</v>
      </c>
      <c r="L27" s="57">
        <f t="shared" si="1"/>
        <v>95668.473637985589</v>
      </c>
      <c r="M27" s="12" t="s">
        <v>977</v>
      </c>
      <c r="N27" s="12">
        <f>581-$AD$19</f>
        <v>358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11.737704918032787</v>
      </c>
      <c r="S27" s="57">
        <v>100000</v>
      </c>
      <c r="T27" s="57">
        <v>92000</v>
      </c>
      <c r="U27" s="57">
        <f t="shared" si="3"/>
        <v>116393.73210241571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955</v>
      </c>
      <c r="B28" s="86">
        <f t="shared" si="14"/>
        <v>95055.115273903895</v>
      </c>
      <c r="C28" s="86">
        <f t="shared" si="16"/>
        <v>99423.180956585493</v>
      </c>
      <c r="D28" s="86">
        <f t="shared" si="5"/>
        <v>99983.152107812595</v>
      </c>
      <c r="E28" s="86">
        <f t="shared" si="6"/>
        <v>100546.284863828</v>
      </c>
      <c r="F28" s="86">
        <f t="shared" si="7"/>
        <v>101112.59711878045</v>
      </c>
      <c r="G28" s="86">
        <f t="shared" si="8"/>
        <v>101682.10686833282</v>
      </c>
      <c r="H28" s="86">
        <f t="shared" si="9"/>
        <v>102254.8322102597</v>
      </c>
      <c r="I28" s="86">
        <f t="shared" si="10"/>
        <v>102830.79134500139</v>
      </c>
      <c r="J28" s="86">
        <f t="shared" si="11"/>
        <v>103410.00257628727</v>
      </c>
      <c r="K28" s="86">
        <f t="shared" si="12"/>
        <v>103992.48431169035</v>
      </c>
      <c r="L28" s="86">
        <f t="shared" si="1"/>
        <v>100546.284863828</v>
      </c>
      <c r="M28" s="148" t="s">
        <v>978</v>
      </c>
      <c r="N28" s="148">
        <f>633-$AD$19</f>
        <v>410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13.442622950819672</v>
      </c>
      <c r="S28" s="86">
        <v>100000</v>
      </c>
      <c r="T28" s="86">
        <v>100000</v>
      </c>
      <c r="U28" s="86">
        <f t="shared" si="3"/>
        <v>125861.5727389688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948</v>
      </c>
      <c r="B29" s="90">
        <f t="shared" si="14"/>
        <v>94258.960884281187</v>
      </c>
      <c r="C29" s="94">
        <f t="shared" si="16"/>
        <v>99327.835600925377</v>
      </c>
      <c r="D29" s="90">
        <f t="shared" si="5"/>
        <v>99980.358097696735</v>
      </c>
      <c r="E29" s="90">
        <f t="shared" si="6"/>
        <v>100637.17629095004</v>
      </c>
      <c r="F29" s="90">
        <f t="shared" si="7"/>
        <v>101298.31851961926</v>
      </c>
      <c r="G29" s="90">
        <f t="shared" si="8"/>
        <v>101963.81330997091</v>
      </c>
      <c r="H29" s="90">
        <f t="shared" si="9"/>
        <v>102633.68937686893</v>
      </c>
      <c r="I29" s="90">
        <f t="shared" si="10"/>
        <v>103307.97562499276</v>
      </c>
      <c r="J29" s="90">
        <f t="shared" si="11"/>
        <v>103986.70115014086</v>
      </c>
      <c r="K29" s="90">
        <f t="shared" si="12"/>
        <v>104669.89524045856</v>
      </c>
      <c r="L29" s="92">
        <f t="shared" si="1"/>
        <v>100637.17629095004</v>
      </c>
      <c r="M29" s="91" t="s">
        <v>979</v>
      </c>
      <c r="N29" s="91">
        <f>701-$AD$19</f>
        <v>478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15.672131147540984</v>
      </c>
      <c r="S29" s="92">
        <v>100000</v>
      </c>
      <c r="T29" s="92">
        <v>100000</v>
      </c>
      <c r="U29" s="92">
        <f t="shared" si="3"/>
        <v>130755.75098932281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963</v>
      </c>
      <c r="B30" s="90">
        <f t="shared" si="14"/>
        <v>90125.778239243518</v>
      </c>
      <c r="C30" s="94">
        <f t="shared" si="16"/>
        <v>95253.364453583592</v>
      </c>
      <c r="D30" s="90">
        <f t="shared" si="5"/>
        <v>95914.534104037812</v>
      </c>
      <c r="E30" s="90">
        <f t="shared" si="6"/>
        <v>96580.302195296099</v>
      </c>
      <c r="F30" s="90">
        <f t="shared" si="7"/>
        <v>97250.700773212855</v>
      </c>
      <c r="G30" s="90">
        <f t="shared" si="8"/>
        <v>97925.762107381699</v>
      </c>
      <c r="H30" s="90">
        <f t="shared" si="9"/>
        <v>98605.518692757803</v>
      </c>
      <c r="I30" s="90">
        <f t="shared" si="10"/>
        <v>99290.003251168804</v>
      </c>
      <c r="J30" s="90">
        <f t="shared" si="11"/>
        <v>99979.248732982815</v>
      </c>
      <c r="K30" s="90">
        <f t="shared" si="12"/>
        <v>100673.28831862348</v>
      </c>
      <c r="L30" s="94">
        <f t="shared" si="1"/>
        <v>96580.302195296099</v>
      </c>
      <c r="M30" s="93" t="s">
        <v>1003</v>
      </c>
      <c r="N30" s="93">
        <f>728-$AD$19</f>
        <v>505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16.557377049180328</v>
      </c>
      <c r="S30" s="94">
        <v>100000</v>
      </c>
      <c r="T30" s="94">
        <v>95000</v>
      </c>
      <c r="U30" s="94">
        <f t="shared" si="3"/>
        <v>127354.97166939263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964</v>
      </c>
      <c r="B31" s="86">
        <f t="shared" si="14"/>
        <v>88978.837122295648</v>
      </c>
      <c r="C31" s="86">
        <f t="shared" si="16"/>
        <v>93455.402181056867</v>
      </c>
      <c r="D31" s="86">
        <f t="shared" si="5"/>
        <v>94030.616968830989</v>
      </c>
      <c r="E31" s="86">
        <f t="shared" si="6"/>
        <v>94609.380135326035</v>
      </c>
      <c r="F31" s="86">
        <f t="shared" si="7"/>
        <v>95191.713618771828</v>
      </c>
      <c r="G31" s="86">
        <f t="shared" si="8"/>
        <v>95777.639493378243</v>
      </c>
      <c r="H31" s="86">
        <f t="shared" si="9"/>
        <v>96367.179970104247</v>
      </c>
      <c r="I31" s="86">
        <f t="shared" si="10"/>
        <v>96960.357397563464</v>
      </c>
      <c r="J31" s="86">
        <f t="shared" si="11"/>
        <v>97557.194262860445</v>
      </c>
      <c r="K31" s="86">
        <f t="shared" si="12"/>
        <v>98157.71319242366</v>
      </c>
      <c r="L31" s="86">
        <f t="shared" si="1"/>
        <v>94609.380135326035</v>
      </c>
      <c r="M31" s="148" t="s">
        <v>980</v>
      </c>
      <c r="N31" s="148">
        <f>671-$AD$19</f>
        <v>448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14.688524590163935</v>
      </c>
      <c r="S31" s="86">
        <v>100000</v>
      </c>
      <c r="T31" s="86">
        <v>90600</v>
      </c>
      <c r="U31" s="86">
        <f t="shared" si="3"/>
        <v>120921.65226808751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965</v>
      </c>
      <c r="B32" s="90">
        <f t="shared" si="14"/>
        <v>80251.174881118641</v>
      </c>
      <c r="C32" s="94">
        <f t="shared" si="16"/>
        <v>87238.75914952661</v>
      </c>
      <c r="D32" s="90">
        <f t="shared" si="5"/>
        <v>88153.999158421502</v>
      </c>
      <c r="E32" s="90">
        <f t="shared" si="6"/>
        <v>89078.853874314897</v>
      </c>
      <c r="F32" s="90">
        <f t="shared" si="7"/>
        <v>90013.424434641231</v>
      </c>
      <c r="G32" s="90">
        <f t="shared" si="8"/>
        <v>90957.813042129244</v>
      </c>
      <c r="H32" s="90">
        <f t="shared" si="9"/>
        <v>91912.122975954364</v>
      </c>
      <c r="I32" s="90">
        <f t="shared" si="10"/>
        <v>92876.458603228646</v>
      </c>
      <c r="J32" s="90">
        <f t="shared" si="11"/>
        <v>93850.925390334261</v>
      </c>
      <c r="K32" s="90">
        <f t="shared" si="12"/>
        <v>94835.629914639387</v>
      </c>
      <c r="L32" s="92">
        <f t="shared" si="1"/>
        <v>89078.853874314897</v>
      </c>
      <c r="M32" s="91" t="s">
        <v>981</v>
      </c>
      <c r="N32" s="91">
        <f>985-$AD$19</f>
        <v>762</v>
      </c>
      <c r="O32" s="91">
        <v>15</v>
      </c>
      <c r="P32" s="91">
        <f>$AI$2</f>
        <v>0.54</v>
      </c>
      <c r="Q32" s="91">
        <v>6</v>
      </c>
      <c r="R32" s="91">
        <f t="shared" si="2"/>
        <v>24.983606557377048</v>
      </c>
      <c r="S32" s="92">
        <v>100000</v>
      </c>
      <c r="T32" s="92">
        <v>85800</v>
      </c>
      <c r="U32" s="92">
        <f t="shared" si="3"/>
        <v>135219.65807251554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939</v>
      </c>
      <c r="B33" s="90">
        <f t="shared" si="14"/>
        <v>90859.340258158845</v>
      </c>
      <c r="C33" s="94">
        <f t="shared" si="16"/>
        <v>92263.203792966538</v>
      </c>
      <c r="D33" s="90">
        <f t="shared" si="5"/>
        <v>92440.215976805965</v>
      </c>
      <c r="E33" s="90">
        <f t="shared" si="6"/>
        <v>92617.570199004273</v>
      </c>
      <c r="F33" s="90">
        <f t="shared" si="7"/>
        <v>92795.267125178332</v>
      </c>
      <c r="G33" s="90">
        <f t="shared" si="8"/>
        <v>92973.307422240803</v>
      </c>
      <c r="H33" s="90">
        <f t="shared" si="9"/>
        <v>93151.691758420042</v>
      </c>
      <c r="I33" s="90">
        <f t="shared" si="10"/>
        <v>93330.420803247165</v>
      </c>
      <c r="J33" s="90">
        <f t="shared" si="11"/>
        <v>93509.495227568361</v>
      </c>
      <c r="K33" s="90">
        <f t="shared" si="12"/>
        <v>93688.915703549603</v>
      </c>
      <c r="L33" s="94">
        <f t="shared" si="1"/>
        <v>92617.570199004273</v>
      </c>
      <c r="M33" s="93" t="s">
        <v>982</v>
      </c>
      <c r="N33" s="93">
        <f>363-$AD$19</f>
        <v>140</v>
      </c>
      <c r="O33" s="93">
        <v>0</v>
      </c>
      <c r="P33" s="93">
        <v>0</v>
      </c>
      <c r="Q33" s="93">
        <v>0</v>
      </c>
      <c r="R33" s="93">
        <f t="shared" si="2"/>
        <v>4.5901639344262293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970</v>
      </c>
      <c r="B34" s="90">
        <f>$S34/(1+($B$1-$O34+$P34)/36500)^$N34</f>
        <v>85307.956285876644</v>
      </c>
      <c r="C34" s="94">
        <f t="shared" si="16"/>
        <v>95678.759339405951</v>
      </c>
      <c r="D34" s="90">
        <f t="shared" si="5"/>
        <v>97060.867549874296</v>
      </c>
      <c r="E34" s="90">
        <f t="shared" si="6"/>
        <v>98462.960069702487</v>
      </c>
      <c r="F34" s="90">
        <f t="shared" si="7"/>
        <v>99885.326137631739</v>
      </c>
      <c r="G34" s="90">
        <f t="shared" si="8"/>
        <v>101328.2591826508</v>
      </c>
      <c r="H34" s="90">
        <f t="shared" si="9"/>
        <v>102792.05688482914</v>
      </c>
      <c r="I34" s="90">
        <f t="shared" si="10"/>
        <v>104277.02123691568</v>
      </c>
      <c r="J34" s="90">
        <f t="shared" si="11"/>
        <v>105783.4586068818</v>
      </c>
      <c r="K34" s="90">
        <f t="shared" si="12"/>
        <v>107311.67980142121</v>
      </c>
      <c r="L34" s="90">
        <f t="shared" si="1"/>
        <v>98462.960069702487</v>
      </c>
      <c r="M34" s="89" t="s">
        <v>973</v>
      </c>
      <c r="N34" s="89">
        <f>1270-$AD$19</f>
        <v>1047</v>
      </c>
      <c r="O34" s="89">
        <v>20</v>
      </c>
      <c r="P34" s="89">
        <f>$AI$2</f>
        <v>0.54</v>
      </c>
      <c r="Q34" s="89">
        <v>6</v>
      </c>
      <c r="R34" s="89">
        <f t="shared" si="2"/>
        <v>34.327868852459019</v>
      </c>
      <c r="S34" s="90">
        <v>100000</v>
      </c>
      <c r="T34" s="90">
        <v>100000</v>
      </c>
      <c r="U34" s="90">
        <f t="shared" si="3"/>
        <v>174713.15833287328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974</v>
      </c>
      <c r="B35" s="86">
        <f t="shared" si="14"/>
        <v>98746.436192588866</v>
      </c>
      <c r="C35" s="86">
        <f t="shared" si="16"/>
        <v>100174.22123880235</v>
      </c>
      <c r="D35" s="86">
        <f t="shared" si="5"/>
        <v>100354.15095593565</v>
      </c>
      <c r="E35" s="86">
        <f t="shared" si="6"/>
        <v>100534.40632856217</v>
      </c>
      <c r="F35" s="86">
        <f t="shared" si="7"/>
        <v>100714.98795056214</v>
      </c>
      <c r="G35" s="86">
        <f t="shared" si="8"/>
        <v>100895.89641690158</v>
      </c>
      <c r="H35" s="86">
        <f t="shared" si="9"/>
        <v>101077.13232364655</v>
      </c>
      <c r="I35" s="86">
        <f t="shared" si="10"/>
        <v>101258.69626795492</v>
      </c>
      <c r="J35" s="86">
        <f t="shared" si="11"/>
        <v>101440.58884808136</v>
      </c>
      <c r="K35" s="86">
        <f t="shared" si="12"/>
        <v>101622.81066338082</v>
      </c>
      <c r="L35" s="86">
        <f t="shared" si="1"/>
        <v>100534.40632856217</v>
      </c>
      <c r="M35" s="148" t="s">
        <v>975</v>
      </c>
      <c r="N35" s="148">
        <f>354-$AD$19</f>
        <v>131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4.2950819672131146</v>
      </c>
      <c r="S35" s="86">
        <v>100000</v>
      </c>
      <c r="T35" s="86">
        <v>103000</v>
      </c>
      <c r="U35" s="86">
        <f t="shared" si="3"/>
        <v>108012.89598568541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996</v>
      </c>
      <c r="B36" s="191">
        <f t="shared" si="14"/>
        <v>94130.33361567976</v>
      </c>
      <c r="C36" s="191">
        <f t="shared" si="16"/>
        <v>100000</v>
      </c>
      <c r="D36" s="191">
        <f t="shared" si="5"/>
        <v>100759.03574470122</v>
      </c>
      <c r="E36" s="191">
        <f t="shared" si="6"/>
        <v>101523.8433585664</v>
      </c>
      <c r="F36" s="191">
        <f t="shared" si="7"/>
        <v>102294.46681209786</v>
      </c>
      <c r="G36" s="191">
        <f t="shared" si="8"/>
        <v>103070.95041134693</v>
      </c>
      <c r="H36" s="191">
        <f t="shared" si="9"/>
        <v>103853.33880055511</v>
      </c>
      <c r="I36" s="191">
        <f t="shared" si="10"/>
        <v>104641.67696465808</v>
      </c>
      <c r="J36" s="191">
        <f t="shared" si="11"/>
        <v>105436.01023194432</v>
      </c>
      <c r="K36" s="191">
        <f t="shared" si="12"/>
        <v>106236.38427665054</v>
      </c>
      <c r="L36" s="191">
        <f t="shared" si="1"/>
        <v>101523.8433585664</v>
      </c>
      <c r="M36" s="190" t="s">
        <v>997</v>
      </c>
      <c r="N36" s="190">
        <f>775-$AD$19</f>
        <v>552</v>
      </c>
      <c r="O36" s="190">
        <v>21</v>
      </c>
      <c r="P36" s="190">
        <v>0</v>
      </c>
      <c r="Q36" s="190">
        <v>1</v>
      </c>
      <c r="R36" s="190">
        <f t="shared" si="2"/>
        <v>18.098360655737704</v>
      </c>
      <c r="S36" s="191">
        <v>100000</v>
      </c>
      <c r="T36" s="191">
        <v>104000</v>
      </c>
      <c r="U36" s="191">
        <f t="shared" si="3"/>
        <v>137363.83292442228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1045</v>
      </c>
      <c r="B37" s="88">
        <f t="shared" si="14"/>
        <v>77165.993798298776</v>
      </c>
      <c r="C37" s="88">
        <f t="shared" si="16"/>
        <v>87126.55963677165</v>
      </c>
      <c r="D37" s="88">
        <f t="shared" si="5"/>
        <v>88458.902755761315</v>
      </c>
      <c r="E37" s="88">
        <f t="shared" si="6"/>
        <v>89811.638792790662</v>
      </c>
      <c r="F37" s="88">
        <f t="shared" si="7"/>
        <v>91185.080168713073</v>
      </c>
      <c r="G37" s="88">
        <f t="shared" si="8"/>
        <v>92579.544095143487</v>
      </c>
      <c r="H37" s="88">
        <f t="shared" si="9"/>
        <v>93995.352647924301</v>
      </c>
      <c r="I37" s="88">
        <f t="shared" si="10"/>
        <v>95432.832841654352</v>
      </c>
      <c r="J37" s="88">
        <f t="shared" si="11"/>
        <v>96892.316705769379</v>
      </c>
      <c r="K37" s="88">
        <f t="shared" si="12"/>
        <v>98374.141361221729</v>
      </c>
      <c r="L37" s="88">
        <f t="shared" si="1"/>
        <v>89811.638792790662</v>
      </c>
      <c r="M37" s="87" t="s">
        <v>1046</v>
      </c>
      <c r="N37" s="87">
        <f>1331-$AD$19</f>
        <v>1108</v>
      </c>
      <c r="O37" s="87">
        <v>17</v>
      </c>
      <c r="P37" s="87">
        <f>AI2</f>
        <v>0.54</v>
      </c>
      <c r="Q37" s="87">
        <v>6</v>
      </c>
      <c r="R37" s="87">
        <f t="shared" si="2"/>
        <v>36.327868852459019</v>
      </c>
      <c r="S37" s="88">
        <v>100000</v>
      </c>
      <c r="T37" s="88"/>
      <c r="U37" s="88">
        <f t="shared" si="3"/>
        <v>164778.67250337591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1106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1107</v>
      </c>
      <c r="E50">
        <v>7.2499999999999995E-2</v>
      </c>
      <c r="AD50" s="25"/>
      <c r="AE50" s="26"/>
    </row>
    <row r="51" spans="1:31" x14ac:dyDescent="0.25">
      <c r="D51" t="s">
        <v>1108</v>
      </c>
      <c r="E51">
        <v>0.125</v>
      </c>
      <c r="AD51" s="25"/>
      <c r="AE51" s="26"/>
    </row>
    <row r="52" spans="1:31" x14ac:dyDescent="0.25">
      <c r="D52" t="s">
        <v>3787</v>
      </c>
      <c r="E52">
        <v>0.49</v>
      </c>
      <c r="AD52" s="25"/>
      <c r="AE52" s="26"/>
    </row>
    <row r="53" spans="1:31" x14ac:dyDescent="0.25">
      <c r="D53" t="s">
        <v>3788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4232</v>
      </c>
      <c r="AD62" s="25"/>
      <c r="AE62" s="26"/>
    </row>
    <row r="63" spans="1:31" x14ac:dyDescent="0.25">
      <c r="A63">
        <v>611</v>
      </c>
      <c r="B63" t="s">
        <v>4224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4225</v>
      </c>
      <c r="AD65" s="25"/>
      <c r="AE65" s="26"/>
    </row>
    <row r="66" spans="1:31" x14ac:dyDescent="0.25">
      <c r="A66">
        <v>702</v>
      </c>
      <c r="B66" t="s">
        <v>4226</v>
      </c>
      <c r="AD66" s="25"/>
      <c r="AE66" s="26"/>
    </row>
    <row r="67" spans="1:31" x14ac:dyDescent="0.25">
      <c r="A67">
        <v>704</v>
      </c>
      <c r="B67" t="s">
        <v>4227</v>
      </c>
      <c r="AD67" s="25"/>
      <c r="AE67" s="26"/>
    </row>
    <row r="68" spans="1:31" x14ac:dyDescent="0.25">
      <c r="A68">
        <v>705</v>
      </c>
      <c r="B68" t="s">
        <v>4228</v>
      </c>
      <c r="AD68" s="25"/>
      <c r="AE68" s="26"/>
    </row>
    <row r="69" spans="1:31" x14ac:dyDescent="0.25">
      <c r="A69">
        <v>706</v>
      </c>
      <c r="B69" t="s">
        <v>4229</v>
      </c>
      <c r="AD69" s="25"/>
      <c r="AE69" s="26"/>
    </row>
    <row r="70" spans="1:31" x14ac:dyDescent="0.25">
      <c r="A70" s="25">
        <v>711</v>
      </c>
      <c r="B70" s="25" t="s">
        <v>4230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4231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1058</v>
      </c>
    </row>
    <row r="2" spans="1:1" x14ac:dyDescent="0.25">
      <c r="A2" t="s">
        <v>1059</v>
      </c>
    </row>
    <row r="3" spans="1:1" x14ac:dyDescent="0.25">
      <c r="A3" t="s">
        <v>1060</v>
      </c>
    </row>
    <row r="4" spans="1:1" x14ac:dyDescent="0.25">
      <c r="A4" t="s">
        <v>1061</v>
      </c>
    </row>
    <row r="5" spans="1:1" x14ac:dyDescent="0.25">
      <c r="A5" t="s">
        <v>1062</v>
      </c>
    </row>
    <row r="6" spans="1:1" x14ac:dyDescent="0.25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1117</v>
      </c>
      <c r="B6" s="99">
        <v>14600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4267</v>
      </c>
      <c r="B8" s="95">
        <f>B2*B4*B5*B6/(B1*B3)+B7</f>
        <v>4238469.7054662369</v>
      </c>
      <c r="C8" s="99">
        <f>B2*B4*B5/(B1*B3)+B7/B6</f>
        <v>290.30614421001627</v>
      </c>
      <c r="D8" s="99" t="s">
        <v>4270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4268</v>
      </c>
      <c r="B9" s="95">
        <v>4350000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4269</v>
      </c>
      <c r="B10" s="95">
        <f>B9-B8</f>
        <v>111530.29453376308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1090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4091</v>
      </c>
      <c r="Q23" s="196" t="s">
        <v>1091</v>
      </c>
      <c r="R23" s="197" t="s">
        <v>1092</v>
      </c>
      <c r="S23" s="196" t="s">
        <v>1093</v>
      </c>
      <c r="T23" s="198" t="s">
        <v>1094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4149</v>
      </c>
      <c r="P25" s="176">
        <v>2182188507</v>
      </c>
      <c r="Q25" s="177" t="s">
        <v>1095</v>
      </c>
      <c r="R25" s="177" t="s">
        <v>4092</v>
      </c>
      <c r="S25" s="177" t="s">
        <v>4097</v>
      </c>
      <c r="T25" s="177" t="s">
        <v>1096</v>
      </c>
    </row>
    <row r="26" spans="5:35" x14ac:dyDescent="0.25">
      <c r="O26" s="176"/>
      <c r="P26" s="176">
        <v>2123095122</v>
      </c>
      <c r="Q26" s="178" t="s">
        <v>1097</v>
      </c>
      <c r="R26" s="178" t="s">
        <v>1098</v>
      </c>
      <c r="S26" s="178" t="s">
        <v>1099</v>
      </c>
      <c r="T26" s="178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4214</v>
      </c>
      <c r="P27" s="176">
        <v>2188831909</v>
      </c>
      <c r="Q27" s="99" t="s">
        <v>4094</v>
      </c>
      <c r="R27" s="99" t="s">
        <v>4095</v>
      </c>
      <c r="S27" s="99" t="s">
        <v>4096</v>
      </c>
      <c r="T27" s="179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3858</v>
      </c>
      <c r="B91" s="89">
        <f>116-'اوراق بدون ریسک'!$AD$19</f>
        <v>-107</v>
      </c>
      <c r="C91" s="144">
        <f>$B$89/(1+(C$90/36500))^$B91</f>
        <v>3162511.2303948053</v>
      </c>
      <c r="D91" s="144">
        <f>$B$89/(1+(D$90/36500))^$B91</f>
        <v>3171791.0455388818</v>
      </c>
      <c r="E91" s="144">
        <f t="shared" ref="E91:K106" si="0">$B$89/(1+(E$90/36500))^$B91</f>
        <v>3181097.8353911168</v>
      </c>
      <c r="F91" s="144">
        <f t="shared" si="0"/>
        <v>3190431.6776201576</v>
      </c>
      <c r="G91" s="144">
        <f t="shared" si="0"/>
        <v>3199792.6501160124</v>
      </c>
      <c r="H91" s="144">
        <f t="shared" si="0"/>
        <v>3209180.8309911462</v>
      </c>
      <c r="I91" s="144">
        <f t="shared" si="0"/>
        <v>3218596.2985804989</v>
      </c>
      <c r="J91" s="144">
        <f t="shared" si="0"/>
        <v>3228039.1314424062</v>
      </c>
      <c r="K91" s="144">
        <f>$B$89/(1+(K$90/36500))^$B91</f>
        <v>3237509.408359292</v>
      </c>
      <c r="L91" s="99"/>
    </row>
    <row r="92" spans="1:12" x14ac:dyDescent="0.25">
      <c r="A92" s="145" t="s">
        <v>3859</v>
      </c>
      <c r="B92" s="91">
        <f>120-'اوراق بدون ریسک'!$AD$19</f>
        <v>-103</v>
      </c>
      <c r="C92" s="146">
        <f t="shared" ref="C92:K112" si="1">$B$89/(1+(C$90/36500))^$B92</f>
        <v>3156280.5356494128</v>
      </c>
      <c r="D92" s="146">
        <f t="shared" si="1"/>
        <v>3165195.353961084</v>
      </c>
      <c r="E92" s="146">
        <f t="shared" si="0"/>
        <v>3174135.1067597191</v>
      </c>
      <c r="F92" s="146">
        <f t="shared" si="0"/>
        <v>3183099.8631007262</v>
      </c>
      <c r="G92" s="146">
        <f t="shared" si="0"/>
        <v>3192089.692228735</v>
      </c>
      <c r="H92" s="146">
        <f t="shared" si="0"/>
        <v>3201104.6635785536</v>
      </c>
      <c r="I92" s="146">
        <f t="shared" si="0"/>
        <v>3210144.8467751122</v>
      </c>
      <c r="J92" s="146">
        <f t="shared" si="0"/>
        <v>3219210.3116342435</v>
      </c>
      <c r="K92" s="146">
        <f t="shared" si="0"/>
        <v>3228301.1281632762</v>
      </c>
      <c r="L92" s="99">
        <v>27</v>
      </c>
    </row>
    <row r="93" spans="1:12" x14ac:dyDescent="0.25">
      <c r="A93" s="147" t="s">
        <v>3860</v>
      </c>
      <c r="B93" s="148">
        <f>137-'اوراق بدون ریسک'!$AD$19</f>
        <v>-86</v>
      </c>
      <c r="C93" s="149">
        <f t="shared" si="1"/>
        <v>3129936.7400848609</v>
      </c>
      <c r="D93" s="149">
        <f t="shared" si="1"/>
        <v>3137316.3355699549</v>
      </c>
      <c r="E93" s="149">
        <f t="shared" si="0"/>
        <v>3144713.1274782219</v>
      </c>
      <c r="F93" s="149">
        <f t="shared" si="0"/>
        <v>3152127.1554093873</v>
      </c>
      <c r="G93" s="149">
        <f t="shared" si="0"/>
        <v>3159558.4590531741</v>
      </c>
      <c r="H93" s="149">
        <f t="shared" si="0"/>
        <v>3167007.0781898703</v>
      </c>
      <c r="I93" s="149">
        <f t="shared" si="0"/>
        <v>3174473.0526900608</v>
      </c>
      <c r="J93" s="149">
        <f t="shared" si="0"/>
        <v>3181956.4225150468</v>
      </c>
      <c r="K93" s="149">
        <f t="shared" si="0"/>
        <v>3189457.2277171132</v>
      </c>
      <c r="L93" s="144">
        <f t="shared" ref="L93:L114" si="2">$B$89/(1+(L$92/36500))^$B91</f>
        <v>3247007.2083382378</v>
      </c>
    </row>
    <row r="94" spans="1:12" x14ac:dyDescent="0.25">
      <c r="A94" s="150" t="s">
        <v>3861</v>
      </c>
      <c r="B94" s="151">
        <f>116-'اوراق بدون ریسک'!$AD$19</f>
        <v>-107</v>
      </c>
      <c r="C94" s="152">
        <f t="shared" si="1"/>
        <v>3162511.2303948053</v>
      </c>
      <c r="D94" s="152">
        <f t="shared" si="1"/>
        <v>3171791.0455388818</v>
      </c>
      <c r="E94" s="152">
        <f t="shared" si="0"/>
        <v>3181097.8353911168</v>
      </c>
      <c r="F94" s="152">
        <f t="shared" si="0"/>
        <v>3190431.6776201576</v>
      </c>
      <c r="G94" s="152">
        <f t="shared" si="0"/>
        <v>3199792.6501160124</v>
      </c>
      <c r="H94" s="152">
        <f t="shared" si="0"/>
        <v>3209180.8309911462</v>
      </c>
      <c r="I94" s="152">
        <f t="shared" si="0"/>
        <v>3218596.2985804989</v>
      </c>
      <c r="J94" s="152">
        <f t="shared" si="0"/>
        <v>3228039.1314424062</v>
      </c>
      <c r="K94" s="152">
        <f t="shared" si="0"/>
        <v>3237509.408359292</v>
      </c>
      <c r="L94" s="146">
        <f t="shared" si="2"/>
        <v>3237417.3665614822</v>
      </c>
    </row>
    <row r="95" spans="1:12" x14ac:dyDescent="0.25">
      <c r="A95" s="153" t="s">
        <v>3862</v>
      </c>
      <c r="B95" s="154">
        <f>167-'اوراق بدون ریسک'!$AD$19</f>
        <v>-56</v>
      </c>
      <c r="C95" s="155">
        <f t="shared" si="1"/>
        <v>3083982.9271107442</v>
      </c>
      <c r="D95" s="155">
        <f t="shared" si="1"/>
        <v>3088715.7482576189</v>
      </c>
      <c r="E95" s="155">
        <f t="shared" si="0"/>
        <v>3093455.7027126122</v>
      </c>
      <c r="F95" s="155">
        <f t="shared" si="0"/>
        <v>3098202.8010312812</v>
      </c>
      <c r="G95" s="155">
        <f t="shared" si="0"/>
        <v>3102957.0537844445</v>
      </c>
      <c r="H95" s="155">
        <f t="shared" si="0"/>
        <v>3107718.47155844</v>
      </c>
      <c r="I95" s="155">
        <f t="shared" si="0"/>
        <v>3112487.0649548448</v>
      </c>
      <c r="J95" s="155">
        <f t="shared" si="0"/>
        <v>3117262.8445906364</v>
      </c>
      <c r="K95" s="155">
        <f t="shared" si="0"/>
        <v>3122045.8210982503</v>
      </c>
      <c r="L95" s="149">
        <f t="shared" si="2"/>
        <v>3196975.5084396731</v>
      </c>
    </row>
    <row r="96" spans="1:12" x14ac:dyDescent="0.25">
      <c r="A96" s="158" t="s">
        <v>3863</v>
      </c>
      <c r="B96" s="23">
        <f>181-'اوراق بدون ریسک'!$AD$19</f>
        <v>-42</v>
      </c>
      <c r="C96" s="159">
        <f t="shared" si="1"/>
        <v>3062769.3161267708</v>
      </c>
      <c r="D96" s="159">
        <f t="shared" si="1"/>
        <v>3066293.8396447622</v>
      </c>
      <c r="E96" s="159">
        <f t="shared" si="0"/>
        <v>3069822.3223788552</v>
      </c>
      <c r="F96" s="159">
        <f t="shared" si="0"/>
        <v>3073354.7686679773</v>
      </c>
      <c r="G96" s="159">
        <f t="shared" si="0"/>
        <v>3076891.1828556424</v>
      </c>
      <c r="H96" s="159">
        <f t="shared" si="0"/>
        <v>3080431.5692901276</v>
      </c>
      <c r="I96" s="159">
        <f t="shared" si="0"/>
        <v>3083975.9323242591</v>
      </c>
      <c r="J96" s="159">
        <f t="shared" si="0"/>
        <v>3087524.2763155126</v>
      </c>
      <c r="K96" s="159">
        <f t="shared" si="0"/>
        <v>3091076.6056260555</v>
      </c>
      <c r="L96" s="152">
        <f t="shared" si="2"/>
        <v>3247007.2083382378</v>
      </c>
    </row>
    <row r="97" spans="1:12" x14ac:dyDescent="0.25">
      <c r="A97" s="160" t="s">
        <v>3864</v>
      </c>
      <c r="B97" s="87">
        <f>197-'اوراق بدون ریسک'!$AD$19</f>
        <v>-26</v>
      </c>
      <c r="C97" s="140">
        <f t="shared" si="1"/>
        <v>3038703.8092190605</v>
      </c>
      <c r="D97" s="140">
        <f t="shared" si="1"/>
        <v>3040868.0391489635</v>
      </c>
      <c r="E97" s="140">
        <f t="shared" si="0"/>
        <v>3043033.7511641439</v>
      </c>
      <c r="F97" s="140">
        <f t="shared" si="0"/>
        <v>3045200.9462389247</v>
      </c>
      <c r="G97" s="140">
        <f t="shared" si="0"/>
        <v>3047369.6253482113</v>
      </c>
      <c r="H97" s="140">
        <f t="shared" si="0"/>
        <v>3049539.7894675974</v>
      </c>
      <c r="I97" s="140">
        <f t="shared" si="0"/>
        <v>3051711.4395732349</v>
      </c>
      <c r="J97" s="140">
        <f t="shared" si="0"/>
        <v>3053884.5766418893</v>
      </c>
      <c r="K97" s="140">
        <f t="shared" si="0"/>
        <v>3056059.2016509608</v>
      </c>
      <c r="L97" s="155">
        <f t="shared" si="2"/>
        <v>3126836.0051255715</v>
      </c>
    </row>
    <row r="98" spans="1:12" x14ac:dyDescent="0.25">
      <c r="A98" s="161" t="s">
        <v>3865</v>
      </c>
      <c r="B98" s="23">
        <f>214-'اوراق بدون ریسک'!$AD$19</f>
        <v>-9</v>
      </c>
      <c r="C98" s="106">
        <f t="shared" si="1"/>
        <v>3013341.3640792393</v>
      </c>
      <c r="D98" s="106">
        <f t="shared" si="1"/>
        <v>3014084.0948712952</v>
      </c>
      <c r="E98" s="106">
        <f t="shared" si="0"/>
        <v>3014826.9883867889</v>
      </c>
      <c r="F98" s="106">
        <f t="shared" si="0"/>
        <v>3015570.0446569151</v>
      </c>
      <c r="G98" s="106">
        <f t="shared" si="0"/>
        <v>3016313.263712862</v>
      </c>
      <c r="H98" s="106">
        <f t="shared" si="0"/>
        <v>3017056.6455858494</v>
      </c>
      <c r="I98" s="106">
        <f t="shared" si="0"/>
        <v>3017800.1903070798</v>
      </c>
      <c r="J98" s="106">
        <f t="shared" si="0"/>
        <v>3018543.8979077656</v>
      </c>
      <c r="K98" s="106">
        <f t="shared" si="0"/>
        <v>3019287.7684191265</v>
      </c>
      <c r="L98" s="159">
        <f t="shared" si="2"/>
        <v>3094632.9246227164</v>
      </c>
    </row>
    <row r="99" spans="1:12" x14ac:dyDescent="0.25">
      <c r="A99" s="162" t="s">
        <v>3866</v>
      </c>
      <c r="B99" s="163">
        <f>272-'اوراق بدون ریسک'!$AD$19</f>
        <v>49</v>
      </c>
      <c r="C99" s="164">
        <f t="shared" si="1"/>
        <v>2928393.1554560005</v>
      </c>
      <c r="D99" s="164">
        <f t="shared" si="1"/>
        <v>2924466.5144272838</v>
      </c>
      <c r="E99" s="164">
        <f t="shared" si="0"/>
        <v>2920545.2458816348</v>
      </c>
      <c r="F99" s="164">
        <f t="shared" si="0"/>
        <v>2916629.3423215388</v>
      </c>
      <c r="G99" s="164">
        <f t="shared" si="0"/>
        <v>2912718.7962602056</v>
      </c>
      <c r="H99" s="164">
        <f t="shared" si="0"/>
        <v>2908813.6002213587</v>
      </c>
      <c r="I99" s="164">
        <f t="shared" si="0"/>
        <v>2904913.7467394709</v>
      </c>
      <c r="J99" s="164">
        <f t="shared" si="0"/>
        <v>2901019.2283596308</v>
      </c>
      <c r="K99" s="164">
        <f t="shared" si="0"/>
        <v>2897130.037637501</v>
      </c>
      <c r="L99" s="140">
        <f t="shared" si="2"/>
        <v>3058235.3155784686</v>
      </c>
    </row>
    <row r="100" spans="1:12" x14ac:dyDescent="0.25">
      <c r="A100" s="147" t="s">
        <v>3867</v>
      </c>
      <c r="B100" s="148">
        <f>302-'اوراق بدون ریسک'!$AD$19</f>
        <v>79</v>
      </c>
      <c r="C100" s="149">
        <f t="shared" si="1"/>
        <v>2885398.4106558687</v>
      </c>
      <c r="D100" s="149">
        <f t="shared" si="1"/>
        <v>2879163.2121861326</v>
      </c>
      <c r="E100" s="149">
        <f t="shared" si="0"/>
        <v>2872941.6578445337</v>
      </c>
      <c r="F100" s="149">
        <f t="shared" si="0"/>
        <v>2866733.7174020228</v>
      </c>
      <c r="G100" s="149">
        <f t="shared" si="0"/>
        <v>2860539.3606974357</v>
      </c>
      <c r="H100" s="149">
        <f t="shared" si="0"/>
        <v>2854358.5576370363</v>
      </c>
      <c r="I100" s="149">
        <f t="shared" si="0"/>
        <v>2848191.2781947572</v>
      </c>
      <c r="J100" s="149">
        <f t="shared" si="0"/>
        <v>2842037.4924118598</v>
      </c>
      <c r="K100" s="149">
        <f t="shared" si="0"/>
        <v>2835897.170396734</v>
      </c>
      <c r="L100" s="106">
        <f t="shared" si="2"/>
        <v>3020031.8018723894</v>
      </c>
    </row>
    <row r="101" spans="1:12" x14ac:dyDescent="0.25">
      <c r="A101" s="150" t="s">
        <v>3868</v>
      </c>
      <c r="B101" s="151">
        <f>319-'اوراق بدون ریسک'!$AD$19</f>
        <v>96</v>
      </c>
      <c r="C101" s="152">
        <f t="shared" si="1"/>
        <v>2861315.5241715834</v>
      </c>
      <c r="D101" s="152">
        <f t="shared" si="1"/>
        <v>2853803.5628857678</v>
      </c>
      <c r="E101" s="152">
        <f t="shared" si="0"/>
        <v>2846311.5280324663</v>
      </c>
      <c r="F101" s="152">
        <f t="shared" si="0"/>
        <v>2838839.3662108206</v>
      </c>
      <c r="G101" s="152">
        <f t="shared" si="0"/>
        <v>2831387.0241646408</v>
      </c>
      <c r="H101" s="152">
        <f t="shared" si="0"/>
        <v>2823954.4487816445</v>
      </c>
      <c r="I101" s="152">
        <f t="shared" si="0"/>
        <v>2816541.5870935377</v>
      </c>
      <c r="J101" s="152">
        <f t="shared" si="0"/>
        <v>2809148.3862754032</v>
      </c>
      <c r="K101" s="152">
        <f t="shared" si="0"/>
        <v>2801774.7936452455</v>
      </c>
      <c r="L101" s="164">
        <f t="shared" si="2"/>
        <v>2893246.1671393262</v>
      </c>
    </row>
    <row r="102" spans="1:12" x14ac:dyDescent="0.25">
      <c r="A102" s="147" t="s">
        <v>3869</v>
      </c>
      <c r="B102" s="148">
        <f>334-'اوراق بدون ریسک'!$AD$19</f>
        <v>111</v>
      </c>
      <c r="C102" s="149">
        <f t="shared" si="1"/>
        <v>2840232.8994846335</v>
      </c>
      <c r="D102" s="149">
        <f t="shared" si="1"/>
        <v>2831612.9615641087</v>
      </c>
      <c r="E102" s="149">
        <f t="shared" si="0"/>
        <v>2823019.4196052495</v>
      </c>
      <c r="F102" s="149">
        <f t="shared" si="0"/>
        <v>2814452.1920589143</v>
      </c>
      <c r="G102" s="149">
        <f t="shared" si="0"/>
        <v>2805911.1976302434</v>
      </c>
      <c r="H102" s="149">
        <f t="shared" si="0"/>
        <v>2797396.3552774461</v>
      </c>
      <c r="I102" s="149">
        <f t="shared" si="0"/>
        <v>2788907.5842115427</v>
      </c>
      <c r="J102" s="149">
        <f t="shared" si="0"/>
        <v>2780444.8038953207</v>
      </c>
      <c r="K102" s="149">
        <f t="shared" si="0"/>
        <v>2772007.9340424733</v>
      </c>
      <c r="L102" s="149">
        <f t="shared" si="2"/>
        <v>2829770.2823247993</v>
      </c>
    </row>
    <row r="103" spans="1:12" x14ac:dyDescent="0.25">
      <c r="A103" s="150" t="s">
        <v>3870</v>
      </c>
      <c r="B103" s="151">
        <f>349-'اوراق بدون ریسک'!$AD$19</f>
        <v>126</v>
      </c>
      <c r="C103" s="152">
        <f t="shared" si="1"/>
        <v>2819305.6149060843</v>
      </c>
      <c r="D103" s="152">
        <f t="shared" si="1"/>
        <v>2809594.9098858172</v>
      </c>
      <c r="E103" s="152">
        <f t="shared" si="0"/>
        <v>2799917.9165666709</v>
      </c>
      <c r="F103" s="152">
        <f t="shared" si="0"/>
        <v>2790274.5169967385</v>
      </c>
      <c r="G103" s="152">
        <f t="shared" si="0"/>
        <v>2780664.5936401589</v>
      </c>
      <c r="H103" s="152">
        <f t="shared" si="0"/>
        <v>2771088.0293751587</v>
      </c>
      <c r="I103" s="152">
        <f t="shared" si="0"/>
        <v>2761544.7074932023</v>
      </c>
      <c r="J103" s="152">
        <f t="shared" si="0"/>
        <v>2752034.5116972295</v>
      </c>
      <c r="K103" s="152">
        <f t="shared" si="0"/>
        <v>2742557.3261001199</v>
      </c>
      <c r="L103" s="152">
        <f t="shared" si="2"/>
        <v>2794420.7566636573</v>
      </c>
    </row>
    <row r="104" spans="1:12" x14ac:dyDescent="0.25">
      <c r="A104" s="162" t="s">
        <v>3871</v>
      </c>
      <c r="B104" s="163">
        <f>361-'اوراق بدون ریسک'!$AD$19</f>
        <v>138</v>
      </c>
      <c r="C104" s="164">
        <f t="shared" si="1"/>
        <v>2802674.8626860841</v>
      </c>
      <c r="D104" s="164">
        <f t="shared" si="1"/>
        <v>2792103.8023052495</v>
      </c>
      <c r="E104" s="164">
        <f t="shared" si="0"/>
        <v>2781572.9014180992</v>
      </c>
      <c r="F104" s="164">
        <f t="shared" si="0"/>
        <v>2771082.0063651828</v>
      </c>
      <c r="G104" s="164">
        <f t="shared" si="0"/>
        <v>2760630.9640793176</v>
      </c>
      <c r="H104" s="164">
        <f t="shared" si="0"/>
        <v>2750219.6220827708</v>
      </c>
      <c r="I104" s="164">
        <f t="shared" si="0"/>
        <v>2739847.8284856449</v>
      </c>
      <c r="J104" s="164">
        <f t="shared" si="0"/>
        <v>2729515.4319832823</v>
      </c>
      <c r="K104" s="164">
        <f t="shared" si="0"/>
        <v>2719222.2818539147</v>
      </c>
      <c r="L104" s="149">
        <f t="shared" si="2"/>
        <v>2763596.8946168777</v>
      </c>
    </row>
    <row r="105" spans="1:12" x14ac:dyDescent="0.25">
      <c r="A105" s="156" t="s">
        <v>3872</v>
      </c>
      <c r="B105" s="93">
        <f>372-'اوراق بدون ریسک'!$AD$19</f>
        <v>149</v>
      </c>
      <c r="C105" s="157">
        <f t="shared" si="1"/>
        <v>2787516.2012581616</v>
      </c>
      <c r="D105" s="157">
        <f t="shared" si="1"/>
        <v>2776165.9610758075</v>
      </c>
      <c r="E105" s="157">
        <f t="shared" si="0"/>
        <v>2764862.2458334467</v>
      </c>
      <c r="F105" s="157">
        <f t="shared" si="0"/>
        <v>2753604.8635579641</v>
      </c>
      <c r="G105" s="157">
        <f t="shared" si="0"/>
        <v>2742393.6230737497</v>
      </c>
      <c r="H105" s="157">
        <f t="shared" si="0"/>
        <v>2731228.333998817</v>
      </c>
      <c r="I105" s="157">
        <f t="shared" si="0"/>
        <v>2720108.806742202</v>
      </c>
      <c r="J105" s="157">
        <f t="shared" si="0"/>
        <v>2709034.8525003167</v>
      </c>
      <c r="K105" s="157">
        <f t="shared" si="0"/>
        <v>2698006.2832535785</v>
      </c>
      <c r="L105" s="152">
        <f t="shared" si="2"/>
        <v>2733113.0352233183</v>
      </c>
    </row>
    <row r="106" spans="1:12" x14ac:dyDescent="0.25">
      <c r="A106" s="150" t="s">
        <v>3873</v>
      </c>
      <c r="B106" s="151">
        <f>391-'اوراق بدون ریسک'!$AD$19</f>
        <v>168</v>
      </c>
      <c r="C106" s="152">
        <f t="shared" si="1"/>
        <v>2761525.9171442515</v>
      </c>
      <c r="D106" s="152">
        <f t="shared" si="1"/>
        <v>2748850.9485555207</v>
      </c>
      <c r="E106" s="152">
        <f t="shared" si="0"/>
        <v>2736234.5007612389</v>
      </c>
      <c r="F106" s="152">
        <f t="shared" si="0"/>
        <v>2723676.301977403</v>
      </c>
      <c r="G106" s="152">
        <f t="shared" si="0"/>
        <v>2711176.0816898081</v>
      </c>
      <c r="H106" s="152">
        <f t="shared" si="0"/>
        <v>2698733.5706474511</v>
      </c>
      <c r="I106" s="152">
        <f t="shared" si="0"/>
        <v>2686348.5008574105</v>
      </c>
      <c r="J106" s="152">
        <f t="shared" si="0"/>
        <v>2674020.6055785511</v>
      </c>
      <c r="K106" s="152">
        <f t="shared" si="0"/>
        <v>2661749.6193155521</v>
      </c>
      <c r="L106" s="164">
        <f t="shared" si="2"/>
        <v>2708968.227956478</v>
      </c>
    </row>
    <row r="107" spans="1:12" x14ac:dyDescent="0.25">
      <c r="A107" s="156" t="s">
        <v>3874</v>
      </c>
      <c r="B107" s="93">
        <f>407-'اوراق بدون ریسک'!$AD$19</f>
        <v>184</v>
      </c>
      <c r="C107" s="157">
        <f t="shared" si="1"/>
        <v>2739827.4102782817</v>
      </c>
      <c r="D107" s="157">
        <f t="shared" si="1"/>
        <v>2726057.3940347461</v>
      </c>
      <c r="E107" s="157">
        <f t="shared" si="1"/>
        <v>2712356.9583219131</v>
      </c>
      <c r="F107" s="157">
        <f t="shared" si="1"/>
        <v>2698725.7496552826</v>
      </c>
      <c r="G107" s="157">
        <f t="shared" si="1"/>
        <v>2685163.4163559317</v>
      </c>
      <c r="H107" s="157">
        <f t="shared" si="1"/>
        <v>2671669.608540569</v>
      </c>
      <c r="I107" s="157">
        <f t="shared" si="1"/>
        <v>2658243.9781131893</v>
      </c>
      <c r="J107" s="157">
        <f t="shared" si="1"/>
        <v>2644886.1787554878</v>
      </c>
      <c r="K107" s="157">
        <f t="shared" si="1"/>
        <v>2631595.8659176319</v>
      </c>
      <c r="L107" s="157">
        <f t="shared" si="2"/>
        <v>2687022.9117632098</v>
      </c>
    </row>
    <row r="108" spans="1:12" x14ac:dyDescent="0.25">
      <c r="A108" s="147" t="s">
        <v>3875</v>
      </c>
      <c r="B108" s="148">
        <f>573-'اوراق بدون ریسک'!$AD$19</f>
        <v>350</v>
      </c>
      <c r="C108" s="149">
        <f t="shared" si="1"/>
        <v>2524522.9003934376</v>
      </c>
      <c r="D108" s="149">
        <f t="shared" si="1"/>
        <v>2500442.9874950834</v>
      </c>
      <c r="E108" s="149">
        <f t="shared" si="1"/>
        <v>2476593.4084303249</v>
      </c>
      <c r="F108" s="149">
        <f t="shared" si="1"/>
        <v>2452971.9537487212</v>
      </c>
      <c r="G108" s="149">
        <f t="shared" si="1"/>
        <v>2429576.4352536919</v>
      </c>
      <c r="H108" s="149">
        <f t="shared" si="1"/>
        <v>2406404.6857963279</v>
      </c>
      <c r="I108" s="149">
        <f t="shared" si="1"/>
        <v>2383454.5590738715</v>
      </c>
      <c r="J108" s="149">
        <f t="shared" si="1"/>
        <v>2360723.9294279306</v>
      </c>
      <c r="K108" s="149">
        <f t="shared" si="1"/>
        <v>2338210.6916451766</v>
      </c>
      <c r="L108" s="152">
        <f t="shared" si="2"/>
        <v>2649535.277813145</v>
      </c>
    </row>
    <row r="109" spans="1:12" x14ac:dyDescent="0.25">
      <c r="A109" s="156" t="s">
        <v>3876</v>
      </c>
      <c r="B109" s="93">
        <f>579-'اوراق بدون ریسک'!$AD$19</f>
        <v>356</v>
      </c>
      <c r="C109" s="157">
        <f t="shared" si="1"/>
        <v>2517065.9553881935</v>
      </c>
      <c r="D109" s="157">
        <f t="shared" si="1"/>
        <v>2492647.5934661506</v>
      </c>
      <c r="E109" s="157">
        <f t="shared" si="1"/>
        <v>2468466.7759630713</v>
      </c>
      <c r="F109" s="157">
        <f t="shared" si="1"/>
        <v>2444521.1856118096</v>
      </c>
      <c r="G109" s="157">
        <f t="shared" si="1"/>
        <v>2420808.5278132288</v>
      </c>
      <c r="H109" s="157">
        <f t="shared" si="1"/>
        <v>2397326.5304126726</v>
      </c>
      <c r="I109" s="157">
        <f t="shared" si="1"/>
        <v>2374072.9434813363</v>
      </c>
      <c r="J109" s="157">
        <f t="shared" si="1"/>
        <v>2351045.5390975527</v>
      </c>
      <c r="K109" s="157">
        <f t="shared" si="1"/>
        <v>2328242.1111307587</v>
      </c>
      <c r="L109" s="157">
        <f t="shared" si="2"/>
        <v>2618372.6968092788</v>
      </c>
    </row>
    <row r="110" spans="1:12" x14ac:dyDescent="0.25">
      <c r="A110" s="150" t="s">
        <v>3877</v>
      </c>
      <c r="B110" s="151">
        <f>753-'اوراق بدون ریسک'!$AD$19</f>
        <v>530</v>
      </c>
      <c r="C110" s="152">
        <f t="shared" si="1"/>
        <v>2310137.0501372735</v>
      </c>
      <c r="D110" s="152">
        <f t="shared" si="1"/>
        <v>2276851.7102200957</v>
      </c>
      <c r="E110" s="152">
        <f t="shared" si="1"/>
        <v>2244046.8500412153</v>
      </c>
      <c r="F110" s="152">
        <f t="shared" si="1"/>
        <v>2211715.5209183949</v>
      </c>
      <c r="G110" s="152">
        <f t="shared" si="1"/>
        <v>2179850.8748476175</v>
      </c>
      <c r="H110" s="152">
        <f t="shared" si="1"/>
        <v>2148446.1630401062</v>
      </c>
      <c r="I110" s="152">
        <f t="shared" si="1"/>
        <v>2117494.7344842437</v>
      </c>
      <c r="J110" s="152">
        <f t="shared" si="1"/>
        <v>2086990.0345254086</v>
      </c>
      <c r="K110" s="152">
        <f t="shared" si="1"/>
        <v>2056925.6034671681</v>
      </c>
      <c r="L110" s="149">
        <f t="shared" si="2"/>
        <v>2315912.7607603236</v>
      </c>
    </row>
    <row r="111" spans="1:12" x14ac:dyDescent="0.25">
      <c r="A111" s="162" t="s">
        <v>3878</v>
      </c>
      <c r="B111" s="163">
        <f>757-'اوراق بدون ریسک'!$AD$19</f>
        <v>534</v>
      </c>
      <c r="C111" s="164">
        <f t="shared" si="1"/>
        <v>2305585.6801243899</v>
      </c>
      <c r="D111" s="164">
        <f t="shared" si="1"/>
        <v>2272117.0314744343</v>
      </c>
      <c r="E111" s="164">
        <f t="shared" si="1"/>
        <v>2239135.121430058</v>
      </c>
      <c r="F111" s="164">
        <f t="shared" si="1"/>
        <v>2206632.8582546338</v>
      </c>
      <c r="G111" s="164">
        <f t="shared" si="1"/>
        <v>2174603.2537278901</v>
      </c>
      <c r="H111" s="164">
        <f t="shared" si="1"/>
        <v>2143039.4216305562</v>
      </c>
      <c r="I111" s="164">
        <f t="shared" si="1"/>
        <v>2111934.5762548479</v>
      </c>
      <c r="J111" s="164">
        <f t="shared" si="1"/>
        <v>2081282.0309337603</v>
      </c>
      <c r="K111" s="164">
        <f t="shared" si="1"/>
        <v>2051075.1965926187</v>
      </c>
      <c r="L111" s="157">
        <f t="shared" si="2"/>
        <v>2305660.4750279463</v>
      </c>
    </row>
    <row r="112" spans="1:12" x14ac:dyDescent="0.25">
      <c r="A112" s="147" t="s">
        <v>3879</v>
      </c>
      <c r="B112" s="148">
        <f>774-'اوراق بدون ریسک'!$AD$19</f>
        <v>551</v>
      </c>
      <c r="C112" s="149">
        <f t="shared" si="1"/>
        <v>2286342.182238909</v>
      </c>
      <c r="D112" s="149">
        <f t="shared" si="1"/>
        <v>2252104.2406594846</v>
      </c>
      <c r="E112" s="149">
        <f t="shared" si="1"/>
        <v>2218379.9283033102</v>
      </c>
      <c r="F112" s="149">
        <f t="shared" si="1"/>
        <v>2185161.5260815215</v>
      </c>
      <c r="G112" s="149">
        <f t="shared" si="1"/>
        <v>2152441.431118838</v>
      </c>
      <c r="H112" s="149">
        <f t="shared" si="1"/>
        <v>2120212.1549992068</v>
      </c>
      <c r="I112" s="149">
        <f t="shared" si="1"/>
        <v>2088466.3220416629</v>
      </c>
      <c r="J112" s="149">
        <f t="shared" si="1"/>
        <v>2057196.6675991656</v>
      </c>
      <c r="K112" s="149">
        <f t="shared" si="1"/>
        <v>2026396.0363838661</v>
      </c>
      <c r="L112" s="152">
        <f t="shared" si="2"/>
        <v>2027295.075193305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2021307.5803223436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1996057.3808181765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3730</v>
      </c>
      <c r="I1" t="s">
        <v>3736</v>
      </c>
    </row>
    <row r="2" spans="1:12" x14ac:dyDescent="0.25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 x14ac:dyDescent="0.25">
      <c r="A3">
        <v>2</v>
      </c>
      <c r="B3" t="s">
        <v>3725</v>
      </c>
      <c r="G3" s="123"/>
      <c r="H3" t="s">
        <v>3732</v>
      </c>
      <c r="I3" t="s">
        <v>3738</v>
      </c>
    </row>
    <row r="4" spans="1:12" x14ac:dyDescent="0.25">
      <c r="A4">
        <v>3</v>
      </c>
      <c r="B4" t="s">
        <v>3726</v>
      </c>
      <c r="H4" t="s">
        <v>3733</v>
      </c>
      <c r="L4" s="123"/>
    </row>
    <row r="5" spans="1:12" x14ac:dyDescent="0.25">
      <c r="H5" t="s">
        <v>3735</v>
      </c>
    </row>
    <row r="6" spans="1:12" x14ac:dyDescent="0.25">
      <c r="B6" s="123" t="s">
        <v>3729</v>
      </c>
      <c r="H6" t="s">
        <v>3739</v>
      </c>
    </row>
    <row r="7" spans="1:12" x14ac:dyDescent="0.25">
      <c r="H7" t="s">
        <v>3740</v>
      </c>
    </row>
    <row r="8" spans="1:12" x14ac:dyDescent="0.25">
      <c r="H8" t="s">
        <v>3741</v>
      </c>
    </row>
    <row r="9" spans="1:12" x14ac:dyDescent="0.25">
      <c r="H9" t="s">
        <v>3754</v>
      </c>
    </row>
    <row r="10" spans="1:12" x14ac:dyDescent="0.25">
      <c r="H10" t="s">
        <v>3755</v>
      </c>
    </row>
    <row r="11" spans="1:12" x14ac:dyDescent="0.25">
      <c r="H11" t="s">
        <v>3756</v>
      </c>
    </row>
    <row r="12" spans="1:12" x14ac:dyDescent="0.25">
      <c r="H12" t="s">
        <v>3758</v>
      </c>
    </row>
    <row r="13" spans="1:12" x14ac:dyDescent="0.25">
      <c r="H13" t="s">
        <v>3757</v>
      </c>
    </row>
    <row r="18" spans="1:8" x14ac:dyDescent="0.25">
      <c r="A18" s="99" t="s">
        <v>3742</v>
      </c>
      <c r="B18" s="99"/>
      <c r="C18" s="99"/>
      <c r="D18" s="99"/>
    </row>
    <row r="19" spans="1:8" x14ac:dyDescent="0.25">
      <c r="A19" s="99">
        <v>1</v>
      </c>
      <c r="B19" s="99" t="s">
        <v>3743</v>
      </c>
      <c r="C19" s="99" t="s">
        <v>3745</v>
      </c>
      <c r="D19" s="99"/>
    </row>
    <row r="20" spans="1:8" x14ac:dyDescent="0.25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3752</v>
      </c>
      <c r="H38" s="22"/>
    </row>
    <row r="39" spans="1:8" x14ac:dyDescent="0.25">
      <c r="A39">
        <v>1</v>
      </c>
      <c r="B39" t="s">
        <v>3749</v>
      </c>
    </row>
    <row r="40" spans="1:8" x14ac:dyDescent="0.25">
      <c r="A40">
        <v>2</v>
      </c>
      <c r="B40" t="s">
        <v>3753</v>
      </c>
    </row>
    <row r="41" spans="1:8" x14ac:dyDescent="0.25">
      <c r="A41">
        <v>3</v>
      </c>
      <c r="B41" t="s">
        <v>3750</v>
      </c>
    </row>
    <row r="42" spans="1:8" x14ac:dyDescent="0.25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 x14ac:dyDescent="0.2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 x14ac:dyDescent="0.2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 x14ac:dyDescent="0.2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 x14ac:dyDescent="0.25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 x14ac:dyDescent="0.25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 x14ac:dyDescent="0.25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 x14ac:dyDescent="0.25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 x14ac:dyDescent="0.25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 x14ac:dyDescent="0.25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 x14ac:dyDescent="0.25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 x14ac:dyDescent="0.25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 x14ac:dyDescent="0.25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 x14ac:dyDescent="0.25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 x14ac:dyDescent="0.25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 x14ac:dyDescent="0.25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 x14ac:dyDescent="0.25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 x14ac:dyDescent="0.25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 x14ac:dyDescent="0.25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 x14ac:dyDescent="0.25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 x14ac:dyDescent="0.25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 x14ac:dyDescent="0.25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 x14ac:dyDescent="0.25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 x14ac:dyDescent="0.25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 x14ac:dyDescent="0.25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 x14ac:dyDescent="0.25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 x14ac:dyDescent="0.25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 x14ac:dyDescent="0.25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 x14ac:dyDescent="0.25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 x14ac:dyDescent="0.25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 x14ac:dyDescent="0.25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 x14ac:dyDescent="0.25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 x14ac:dyDescent="0.25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 x14ac:dyDescent="0.25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 x14ac:dyDescent="0.25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 x14ac:dyDescent="0.25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 x14ac:dyDescent="0.25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 x14ac:dyDescent="0.25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 x14ac:dyDescent="0.25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 x14ac:dyDescent="0.25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 x14ac:dyDescent="0.25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 x14ac:dyDescent="0.25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 x14ac:dyDescent="0.25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 x14ac:dyDescent="0.25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 x14ac:dyDescent="0.25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 x14ac:dyDescent="0.25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 x14ac:dyDescent="0.25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 x14ac:dyDescent="0.25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 x14ac:dyDescent="0.25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 x14ac:dyDescent="0.25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 x14ac:dyDescent="0.25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 x14ac:dyDescent="0.25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 x14ac:dyDescent="0.25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 x14ac:dyDescent="0.25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 x14ac:dyDescent="0.25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 x14ac:dyDescent="0.25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 x14ac:dyDescent="0.25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 x14ac:dyDescent="0.25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 x14ac:dyDescent="0.25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 x14ac:dyDescent="0.25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 x14ac:dyDescent="0.25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 x14ac:dyDescent="0.25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 x14ac:dyDescent="0.25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 x14ac:dyDescent="0.25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 x14ac:dyDescent="0.25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 x14ac:dyDescent="0.25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 x14ac:dyDescent="0.25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 x14ac:dyDescent="0.25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 x14ac:dyDescent="0.25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 x14ac:dyDescent="0.25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 x14ac:dyDescent="0.25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 x14ac:dyDescent="0.25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 x14ac:dyDescent="0.25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 x14ac:dyDescent="0.25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 x14ac:dyDescent="0.25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 x14ac:dyDescent="0.25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 x14ac:dyDescent="0.25">
      <c r="A249" s="74" t="s">
        <v>3941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 x14ac:dyDescent="0.25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 x14ac:dyDescent="0.25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 x14ac:dyDescent="0.25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 x14ac:dyDescent="0.25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 x14ac:dyDescent="0.25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 x14ac:dyDescent="0.25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 x14ac:dyDescent="0.25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 x14ac:dyDescent="0.25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 x14ac:dyDescent="0.25">
      <c r="A259" s="99" t="s">
        <v>4252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4263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4197</v>
      </c>
      <c r="M20" t="s">
        <v>4034</v>
      </c>
      <c r="N20" t="s">
        <v>4198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4262</v>
      </c>
      <c r="B191" s="38">
        <v>-5000</v>
      </c>
      <c r="C191" s="73" t="s">
        <v>4263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853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"/>
  <sheetViews>
    <sheetView tabSelected="1" topLeftCell="R14" zoomScaleNormal="100" workbookViewId="0">
      <selection activeCell="P16" sqref="P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1078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4159</v>
      </c>
      <c r="AR6" s="99" t="s">
        <v>4190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4166</v>
      </c>
      <c r="AR7" s="99" t="s">
        <v>4191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4181</v>
      </c>
      <c r="AR8" s="99" t="s">
        <v>4192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t="s">
        <v>1118</v>
      </c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4195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71" t="s">
        <v>451</v>
      </c>
      <c r="L15" s="171" t="s">
        <v>452</v>
      </c>
      <c r="M15" s="171"/>
      <c r="N15" s="171" t="s">
        <v>751</v>
      </c>
      <c r="P15" s="172">
        <v>4550000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71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-2960011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71" t="s">
        <v>683</v>
      </c>
      <c r="L18" s="117">
        <v>1000000</v>
      </c>
      <c r="M18" s="99" t="s">
        <v>4083</v>
      </c>
      <c r="N18" s="113">
        <v>35695</v>
      </c>
      <c r="Q18" s="99" t="s">
        <v>4335</v>
      </c>
      <c r="R18" s="99" t="s">
        <v>25</v>
      </c>
      <c r="S18" s="99"/>
      <c r="T18" s="95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71" t="s">
        <v>4157</v>
      </c>
      <c r="L19" s="117">
        <f>-آبان97!D55</f>
        <v>55763263</v>
      </c>
      <c r="M19" s="171" t="s">
        <v>4351</v>
      </c>
      <c r="N19" s="113">
        <f t="shared" ref="N19:N25" si="4">O19*P19</f>
        <v>10340428.4</v>
      </c>
      <c r="O19" s="99">
        <v>48028</v>
      </c>
      <c r="P19" s="199">
        <f>P38</f>
        <v>215.3</v>
      </c>
      <c r="Q19" s="99" t="s">
        <v>267</v>
      </c>
      <c r="R19" s="99" t="s">
        <v>180</v>
      </c>
      <c r="S19" s="99" t="s">
        <v>183</v>
      </c>
      <c r="T19" s="99" t="s">
        <v>8</v>
      </c>
      <c r="U19" s="115"/>
      <c r="V19" s="115"/>
      <c r="W19" s="122"/>
      <c r="X19" s="116"/>
      <c r="Y19" s="115"/>
      <c r="AF19" s="99" t="s">
        <v>3644</v>
      </c>
      <c r="AG19" s="99" t="s">
        <v>180</v>
      </c>
      <c r="AH19" s="99" t="s">
        <v>267</v>
      </c>
      <c r="AI19" s="69" t="s">
        <v>4063</v>
      </c>
      <c r="AJ19" s="69" t="s">
        <v>4055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71"/>
      <c r="L20" s="117"/>
      <c r="M20" s="171" t="s">
        <v>4370</v>
      </c>
      <c r="N20" s="113">
        <f t="shared" si="4"/>
        <v>10540358.4</v>
      </c>
      <c r="O20" s="99">
        <v>33504</v>
      </c>
      <c r="P20" s="199">
        <f>P43</f>
        <v>314.60000000000002</v>
      </c>
      <c r="Q20" s="172">
        <v>9268987</v>
      </c>
      <c r="R20" s="99" t="s">
        <v>4181</v>
      </c>
      <c r="S20" s="99">
        <v>36</v>
      </c>
      <c r="T20" s="99" t="s">
        <v>4361</v>
      </c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1109</v>
      </c>
      <c r="AH20" s="113">
        <v>18000000</v>
      </c>
      <c r="AI20" s="99">
        <v>1</v>
      </c>
      <c r="AJ20" s="99">
        <f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307486465</v>
      </c>
      <c r="G21" s="29">
        <f t="shared" si="0"/>
        <v>-45486465</v>
      </c>
      <c r="H21" s="11" t="s">
        <v>4218</v>
      </c>
      <c r="J21" s="25"/>
      <c r="K21" s="171"/>
      <c r="L21" s="117"/>
      <c r="M21" s="171" t="s">
        <v>4360</v>
      </c>
      <c r="N21" s="113">
        <f t="shared" si="4"/>
        <v>2996828.5</v>
      </c>
      <c r="O21" s="99">
        <v>21179</v>
      </c>
      <c r="P21" s="199">
        <f>P45</f>
        <v>141.5</v>
      </c>
      <c r="Q21" s="172">
        <v>54501</v>
      </c>
      <c r="R21" s="99" t="s">
        <v>4291</v>
      </c>
      <c r="S21" s="99">
        <f>S20-24</f>
        <v>12</v>
      </c>
      <c r="T21" s="99" t="s">
        <v>4290</v>
      </c>
      <c r="U21" s="115"/>
      <c r="V21" s="115"/>
      <c r="W21" s="115"/>
      <c r="X21" s="115"/>
      <c r="Y21" s="115"/>
      <c r="AF21" s="99">
        <v>2</v>
      </c>
      <c r="AG21" s="113" t="s">
        <v>1111</v>
      </c>
      <c r="AH21" s="113">
        <v>2500000</v>
      </c>
      <c r="AI21" s="99">
        <v>1</v>
      </c>
      <c r="AJ21" s="99">
        <f t="shared" ref="AJ21:AJ63" si="5">AJ22+AI21</f>
        <v>200</v>
      </c>
      <c r="AK21" s="113">
        <f t="shared" ref="AK21:AK82" si="6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456</v>
      </c>
      <c r="L22" s="117">
        <v>150000</v>
      </c>
      <c r="M22" s="171" t="s">
        <v>4292</v>
      </c>
      <c r="N22" s="113">
        <f t="shared" si="4"/>
        <v>77469</v>
      </c>
      <c r="O22" s="99">
        <v>155</v>
      </c>
      <c r="P22" s="199">
        <f>P41</f>
        <v>499.8</v>
      </c>
      <c r="Q22" s="172">
        <v>4470930</v>
      </c>
      <c r="R22" s="99" t="s">
        <v>4333</v>
      </c>
      <c r="S22" s="99">
        <f>S21-6</f>
        <v>6</v>
      </c>
      <c r="T22" s="99" t="s">
        <v>4363</v>
      </c>
      <c r="U22" s="115"/>
      <c r="V22" s="115"/>
      <c r="W22" s="115"/>
      <c r="X22" s="115"/>
      <c r="Y22" s="115"/>
      <c r="AF22" s="99">
        <v>3</v>
      </c>
      <c r="AG22" s="113" t="s">
        <v>1121</v>
      </c>
      <c r="AH22" s="113">
        <v>8000000</v>
      </c>
      <c r="AI22" s="99">
        <v>1</v>
      </c>
      <c r="AJ22" s="99">
        <f t="shared" si="5"/>
        <v>199</v>
      </c>
      <c r="AK22" s="113">
        <f t="shared" si="6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4349</v>
      </c>
      <c r="N23" s="113">
        <f t="shared" si="4"/>
        <v>8067500</v>
      </c>
      <c r="O23" s="69">
        <v>100</v>
      </c>
      <c r="P23" s="199">
        <f>P42</f>
        <v>80675</v>
      </c>
      <c r="Q23" s="172">
        <v>8663684</v>
      </c>
      <c r="R23" s="99" t="s">
        <v>4364</v>
      </c>
      <c r="S23" s="99">
        <f>S22-4</f>
        <v>2</v>
      </c>
      <c r="T23" s="99" t="s">
        <v>4362</v>
      </c>
      <c r="U23" s="115"/>
      <c r="V23" s="171" t="s">
        <v>180</v>
      </c>
      <c r="W23" s="171" t="s">
        <v>4327</v>
      </c>
      <c r="X23" s="113" t="s">
        <v>4334</v>
      </c>
      <c r="Y23" s="113" t="s">
        <v>938</v>
      </c>
      <c r="Z23" s="56"/>
      <c r="AA23" s="56" t="s">
        <v>942</v>
      </c>
      <c r="AB23" s="56" t="s">
        <v>4336</v>
      </c>
      <c r="AC23" s="171"/>
      <c r="AF23" s="99">
        <v>4</v>
      </c>
      <c r="AG23" s="113" t="s">
        <v>4059</v>
      </c>
      <c r="AH23" s="113">
        <v>-79552</v>
      </c>
      <c r="AI23" s="99">
        <v>1</v>
      </c>
      <c r="AJ23" s="99">
        <f t="shared" si="5"/>
        <v>198</v>
      </c>
      <c r="AK23" s="113">
        <f t="shared" si="6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4331</v>
      </c>
      <c r="N24" s="113">
        <f t="shared" si="4"/>
        <v>4316150.3999999994</v>
      </c>
      <c r="O24" s="99">
        <v>23952</v>
      </c>
      <c r="P24" s="99">
        <f>P44</f>
        <v>180.2</v>
      </c>
      <c r="Q24" s="172">
        <v>1450345</v>
      </c>
      <c r="R24" s="99" t="s">
        <v>4356</v>
      </c>
      <c r="S24" s="99">
        <f>S23-1</f>
        <v>1</v>
      </c>
      <c r="T24" s="99" t="s">
        <v>4365</v>
      </c>
      <c r="U24" s="115"/>
      <c r="V24" s="171" t="s">
        <v>4323</v>
      </c>
      <c r="W24" s="172">
        <v>42705000</v>
      </c>
      <c r="X24" s="171" t="s">
        <v>1087</v>
      </c>
      <c r="Y24" s="171">
        <v>10</v>
      </c>
      <c r="Z24" s="171"/>
      <c r="AA24" s="113">
        <f>P15</f>
        <v>4550000</v>
      </c>
      <c r="AB24" s="113">
        <f>Y24*AA24</f>
        <v>45500000</v>
      </c>
      <c r="AC24" s="171"/>
      <c r="AD24" s="115"/>
      <c r="AF24" s="99">
        <v>5</v>
      </c>
      <c r="AG24" s="113" t="s">
        <v>1133</v>
      </c>
      <c r="AH24" s="113">
        <v>165500</v>
      </c>
      <c r="AI24" s="99">
        <v>12</v>
      </c>
      <c r="AJ24" s="99">
        <f t="shared" si="5"/>
        <v>197</v>
      </c>
      <c r="AK24" s="113">
        <f t="shared" si="6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4350</v>
      </c>
      <c r="N25" s="113">
        <f t="shared" si="4"/>
        <v>-8067500</v>
      </c>
      <c r="O25" s="69">
        <v>-100</v>
      </c>
      <c r="P25" s="99">
        <f>P42</f>
        <v>80675</v>
      </c>
      <c r="Q25" s="172">
        <v>400069</v>
      </c>
      <c r="R25" s="99" t="s">
        <v>4366</v>
      </c>
      <c r="S25" s="99">
        <f>S24-1</f>
        <v>0</v>
      </c>
      <c r="T25" s="99" t="s">
        <v>4367</v>
      </c>
      <c r="U25" s="115"/>
      <c r="V25" s="56" t="s">
        <v>4333</v>
      </c>
      <c r="W25" s="172">
        <v>-4470930</v>
      </c>
      <c r="X25" s="56" t="s">
        <v>4331</v>
      </c>
      <c r="Y25" s="171">
        <v>-23952</v>
      </c>
      <c r="Z25" s="171" t="s">
        <v>4335</v>
      </c>
      <c r="AA25" s="171">
        <f>P44</f>
        <v>180.2</v>
      </c>
      <c r="AB25" s="113">
        <f t="shared" ref="AB25:AB28" si="7">Y25*AA25</f>
        <v>-4316150.3999999994</v>
      </c>
      <c r="AC25" s="171"/>
      <c r="AD25" s="115"/>
      <c r="AF25" s="99">
        <v>6</v>
      </c>
      <c r="AG25" s="113" t="s">
        <v>1159</v>
      </c>
      <c r="AH25" s="113">
        <v>-28830327</v>
      </c>
      <c r="AI25" s="99">
        <v>6</v>
      </c>
      <c r="AJ25" s="99">
        <f t="shared" si="5"/>
        <v>185</v>
      </c>
      <c r="AK25" s="113">
        <f t="shared" si="6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/>
      <c r="L26" s="117"/>
      <c r="M26" s="171" t="s">
        <v>4352</v>
      </c>
      <c r="N26" s="113">
        <v>-1336316</v>
      </c>
      <c r="O26" s="115"/>
      <c r="P26" s="115" t="s">
        <v>25</v>
      </c>
      <c r="Q26" s="172">
        <v>8690518</v>
      </c>
      <c r="R26" s="99" t="s">
        <v>4366</v>
      </c>
      <c r="S26" s="99">
        <f>S25</f>
        <v>0</v>
      </c>
      <c r="T26" s="99" t="s">
        <v>4368</v>
      </c>
      <c r="U26" s="115"/>
      <c r="V26" s="113" t="s">
        <v>4333</v>
      </c>
      <c r="W26" s="172">
        <v>-11344820</v>
      </c>
      <c r="X26" s="56" t="s">
        <v>4337</v>
      </c>
      <c r="Y26" s="56">
        <v>-80808</v>
      </c>
      <c r="Z26" s="56" t="s">
        <v>4341</v>
      </c>
      <c r="AA26" s="171">
        <f>P45</f>
        <v>141.5</v>
      </c>
      <c r="AB26" s="113">
        <f>Y26*AA26</f>
        <v>-11434332</v>
      </c>
      <c r="AC26" s="171"/>
      <c r="AD26" s="115"/>
      <c r="AF26" s="99">
        <v>7</v>
      </c>
      <c r="AG26" s="113" t="s">
        <v>1184</v>
      </c>
      <c r="AH26" s="113">
        <v>18500000</v>
      </c>
      <c r="AI26" s="99">
        <v>1</v>
      </c>
      <c r="AJ26" s="99">
        <f t="shared" si="5"/>
        <v>179</v>
      </c>
      <c r="AK26" s="113">
        <f t="shared" si="6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25</v>
      </c>
      <c r="L27" s="117"/>
      <c r="M27" s="171" t="s">
        <v>756</v>
      </c>
      <c r="N27" s="113">
        <v>3000000</v>
      </c>
      <c r="O27" s="22"/>
      <c r="Q27" s="172">
        <v>3000094</v>
      </c>
      <c r="R27" s="99" t="s">
        <v>4366</v>
      </c>
      <c r="S27" s="99">
        <f>S26</f>
        <v>0</v>
      </c>
      <c r="T27" s="99" t="s">
        <v>4369</v>
      </c>
      <c r="U27" s="115"/>
      <c r="V27" s="113" t="s">
        <v>4333</v>
      </c>
      <c r="W27" s="172">
        <v>-18242759</v>
      </c>
      <c r="X27" s="56" t="s">
        <v>4331</v>
      </c>
      <c r="Y27" s="56">
        <v>-99504</v>
      </c>
      <c r="Z27" s="56" t="s">
        <v>4341</v>
      </c>
      <c r="AA27" s="171">
        <f>P44</f>
        <v>180.2</v>
      </c>
      <c r="AB27" s="113">
        <f>Y27*AA27</f>
        <v>-17930620.799999997</v>
      </c>
      <c r="AC27" s="171"/>
      <c r="AD27" s="115"/>
      <c r="AF27" s="99">
        <v>8</v>
      </c>
      <c r="AG27" s="113" t="s">
        <v>1193</v>
      </c>
      <c r="AH27" s="113">
        <v>-18550000</v>
      </c>
      <c r="AI27" s="99">
        <v>1</v>
      </c>
      <c r="AJ27" s="99">
        <f t="shared" si="5"/>
        <v>178</v>
      </c>
      <c r="AK27" s="113">
        <f t="shared" si="6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918</v>
      </c>
      <c r="L28" s="117">
        <v>4800000</v>
      </c>
      <c r="M28" s="171" t="s">
        <v>4158</v>
      </c>
      <c r="N28" s="113">
        <f>-1*L19</f>
        <v>-55763263</v>
      </c>
      <c r="P28" t="s">
        <v>25</v>
      </c>
      <c r="Q28" s="172">
        <v>-600000</v>
      </c>
      <c r="R28" s="99"/>
      <c r="S28" s="99"/>
      <c r="T28" s="99" t="s">
        <v>4342</v>
      </c>
      <c r="U28" s="115"/>
      <c r="V28" s="113" t="s">
        <v>4366</v>
      </c>
      <c r="W28" s="172">
        <v>-8690518</v>
      </c>
      <c r="X28" s="171" t="s">
        <v>4343</v>
      </c>
      <c r="Y28" s="171">
        <v>-27637</v>
      </c>
      <c r="Z28" s="171" t="s">
        <v>4335</v>
      </c>
      <c r="AA28" s="171">
        <f>P43</f>
        <v>314.60000000000002</v>
      </c>
      <c r="AB28" s="113">
        <f t="shared" si="7"/>
        <v>-8694600.2000000011</v>
      </c>
      <c r="AC28" s="171"/>
      <c r="AD28" s="115"/>
      <c r="AF28" s="99">
        <v>9</v>
      </c>
      <c r="AG28" s="113" t="s">
        <v>1200</v>
      </c>
      <c r="AH28" s="113">
        <v>-64961</v>
      </c>
      <c r="AI28" s="99">
        <v>5</v>
      </c>
      <c r="AJ28" s="99">
        <f t="shared" si="5"/>
        <v>177</v>
      </c>
      <c r="AK28" s="113">
        <f t="shared" si="6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929</v>
      </c>
      <c r="L29" s="117">
        <v>0</v>
      </c>
      <c r="M29" s="171" t="s">
        <v>753</v>
      </c>
      <c r="N29" s="113">
        <v>500000</v>
      </c>
      <c r="P29" t="s">
        <v>25</v>
      </c>
      <c r="Q29" s="172"/>
      <c r="R29" s="99"/>
      <c r="S29" s="99"/>
      <c r="T29" s="99"/>
      <c r="U29" s="115"/>
      <c r="V29" s="26"/>
      <c r="W29" s="189"/>
      <c r="X29" s="188"/>
      <c r="Y29" s="188"/>
      <c r="Z29" s="188"/>
      <c r="AA29" s="188"/>
      <c r="AB29" s="26"/>
      <c r="AC29" s="188"/>
      <c r="AD29" s="115"/>
      <c r="AF29" s="99">
        <v>10</v>
      </c>
      <c r="AG29" s="113" t="s">
        <v>1216</v>
      </c>
      <c r="AH29" s="113">
        <v>6400000</v>
      </c>
      <c r="AI29" s="99">
        <v>1</v>
      </c>
      <c r="AJ29" s="99">
        <f t="shared" si="5"/>
        <v>172</v>
      </c>
      <c r="AK29" s="113">
        <f t="shared" si="6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1087</v>
      </c>
      <c r="L30" s="117">
        <f>65*P15</f>
        <v>295750000</v>
      </c>
      <c r="M30" s="171" t="s">
        <v>760</v>
      </c>
      <c r="N30" s="113">
        <v>1200000</v>
      </c>
      <c r="O30" t="s">
        <v>25</v>
      </c>
      <c r="P30" t="s">
        <v>25</v>
      </c>
      <c r="Q30" s="172">
        <f>SUM(N19:N24)-SUM(Q20:Q29)</f>
        <v>939606.70000000298</v>
      </c>
      <c r="R30" s="99"/>
      <c r="S30" s="99" t="s">
        <v>25</v>
      </c>
      <c r="T30" s="99"/>
      <c r="U30" s="115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4060</v>
      </c>
      <c r="AH30" s="113">
        <v>-170000</v>
      </c>
      <c r="AI30" s="99">
        <v>5</v>
      </c>
      <c r="AJ30" s="99">
        <f t="shared" si="5"/>
        <v>171</v>
      </c>
      <c r="AK30" s="113">
        <f t="shared" si="6"/>
        <v>-29070000</v>
      </c>
      <c r="AL30" s="99"/>
      <c r="AN30" s="96"/>
      <c r="AO30" s="99" t="s">
        <v>1135</v>
      </c>
      <c r="AP30" s="99" t="s">
        <v>4254</v>
      </c>
      <c r="AQ30" s="99" t="s">
        <v>938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 t="s">
        <v>4156</v>
      </c>
      <c r="L31" s="117">
        <v>-50000000</v>
      </c>
      <c r="M31" s="73" t="s">
        <v>4325</v>
      </c>
      <c r="N31" s="113">
        <v>41</v>
      </c>
      <c r="O31" s="22"/>
      <c r="P31" t="s">
        <v>25</v>
      </c>
      <c r="R31" s="115"/>
      <c r="S31" s="115"/>
      <c r="T31" s="115"/>
      <c r="U31" s="115"/>
      <c r="V31" s="26"/>
      <c r="W31" s="188"/>
      <c r="X31" s="188"/>
      <c r="Y31" s="188"/>
      <c r="Z31" s="188"/>
      <c r="AA31" s="188"/>
      <c r="AB31" s="42">
        <f>SUM(AB24:AB28)</f>
        <v>3124296.6000000034</v>
      </c>
      <c r="AC31" s="188"/>
      <c r="AD31" s="115"/>
      <c r="AF31" s="99">
        <v>12</v>
      </c>
      <c r="AG31" s="113" t="s">
        <v>1236</v>
      </c>
      <c r="AH31" s="113">
        <v>-6300000</v>
      </c>
      <c r="AI31" s="99">
        <v>1</v>
      </c>
      <c r="AJ31" s="99">
        <f>AJ32+AI31</f>
        <v>166</v>
      </c>
      <c r="AK31" s="113">
        <f t="shared" si="6"/>
        <v>-1045800000</v>
      </c>
      <c r="AL31" s="99"/>
      <c r="AN31" s="96"/>
      <c r="AO31" s="99">
        <v>1</v>
      </c>
      <c r="AP31" s="172" t="s">
        <v>4255</v>
      </c>
      <c r="AQ31" s="99">
        <v>18290</v>
      </c>
      <c r="AR31" s="99" t="s">
        <v>4181</v>
      </c>
      <c r="AS31" s="99" t="s">
        <v>4256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/>
      <c r="L32" s="117"/>
      <c r="M32" s="171" t="s">
        <v>1087</v>
      </c>
      <c r="N32" s="113">
        <f>65*P15</f>
        <v>295750000</v>
      </c>
      <c r="P32" t="s">
        <v>25</v>
      </c>
      <c r="R32" s="115"/>
      <c r="S32" s="115"/>
      <c r="T32" s="115"/>
      <c r="U32" s="115"/>
      <c r="V32" s="41"/>
      <c r="W32" s="188"/>
      <c r="X32" s="188"/>
      <c r="Y32" s="188"/>
      <c r="Z32" s="188"/>
      <c r="AA32" s="188"/>
      <c r="AB32" s="188" t="s">
        <v>945</v>
      </c>
      <c r="AC32" s="188"/>
      <c r="AD32" s="115"/>
      <c r="AF32" s="99">
        <v>13</v>
      </c>
      <c r="AG32" s="113" t="s">
        <v>1245</v>
      </c>
      <c r="AH32" s="113">
        <v>-52015</v>
      </c>
      <c r="AI32" s="99">
        <v>16</v>
      </c>
      <c r="AJ32" s="99">
        <f t="shared" si="5"/>
        <v>165</v>
      </c>
      <c r="AK32" s="113">
        <f t="shared" si="6"/>
        <v>-8582475</v>
      </c>
      <c r="AL32" s="99"/>
      <c r="AN32" s="96"/>
      <c r="AO32" s="99">
        <v>2</v>
      </c>
      <c r="AP32" s="172" t="s">
        <v>4255</v>
      </c>
      <c r="AQ32" s="99">
        <v>24813</v>
      </c>
      <c r="AR32" s="99" t="s">
        <v>4252</v>
      </c>
      <c r="AS32" s="99" t="s">
        <v>4257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/>
      <c r="L33" s="117"/>
      <c r="M33" s="171" t="s">
        <v>4374</v>
      </c>
      <c r="N33" s="113">
        <v>-20000000</v>
      </c>
      <c r="Q33" t="s">
        <v>25</v>
      </c>
      <c r="S33" s="26" t="s">
        <v>25</v>
      </c>
      <c r="T33" t="s">
        <v>25</v>
      </c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3711</v>
      </c>
      <c r="AH33" s="113">
        <v>20017400</v>
      </c>
      <c r="AI33" s="99">
        <v>0</v>
      </c>
      <c r="AJ33" s="99">
        <f t="shared" si="5"/>
        <v>149</v>
      </c>
      <c r="AK33" s="113">
        <f t="shared" si="6"/>
        <v>2982592600</v>
      </c>
      <c r="AL33" s="99"/>
      <c r="AN33" s="96"/>
      <c r="AO33" s="99">
        <v>3</v>
      </c>
      <c r="AP33" s="172" t="s">
        <v>4255</v>
      </c>
      <c r="AQ33" s="99">
        <v>26189</v>
      </c>
      <c r="AR33" s="99" t="s">
        <v>4273</v>
      </c>
      <c r="AS33" s="99" t="s">
        <v>4274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71"/>
      <c r="L34" s="117"/>
      <c r="M34" s="171" t="s">
        <v>4201</v>
      </c>
      <c r="N34" s="113">
        <v>-50000000</v>
      </c>
      <c r="O34" s="96"/>
      <c r="P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3711</v>
      </c>
      <c r="AH34" s="113">
        <v>1014466</v>
      </c>
      <c r="AI34" s="99">
        <v>12</v>
      </c>
      <c r="AJ34" s="99">
        <f t="shared" si="5"/>
        <v>149</v>
      </c>
      <c r="AK34" s="113">
        <f t="shared" si="6"/>
        <v>151155434</v>
      </c>
      <c r="AL34" s="99"/>
      <c r="AN34" s="96"/>
      <c r="AO34" s="185"/>
      <c r="AP34" s="186" t="s">
        <v>4258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71" t="s">
        <v>3892</v>
      </c>
      <c r="N35" s="113">
        <v>8</v>
      </c>
      <c r="O35" s="99" t="s">
        <v>938</v>
      </c>
      <c r="P35" s="99" t="s">
        <v>3933</v>
      </c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1147</v>
      </c>
      <c r="AH35" s="113">
        <v>360000</v>
      </c>
      <c r="AI35" s="99">
        <v>2</v>
      </c>
      <c r="AJ35" s="99">
        <f t="shared" si="5"/>
        <v>137</v>
      </c>
      <c r="AK35" s="113">
        <f t="shared" si="6"/>
        <v>49320000</v>
      </c>
      <c r="AL35" s="99"/>
      <c r="AN35" s="96"/>
      <c r="AO35" s="185"/>
      <c r="AP35" s="186" t="s">
        <v>4255</v>
      </c>
      <c r="AQ35" s="185">
        <v>19666</v>
      </c>
      <c r="AR35" s="185" t="s">
        <v>4273</v>
      </c>
      <c r="AS35" s="185" t="s">
        <v>4275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99"/>
      <c r="L36" s="99"/>
      <c r="M36" s="171"/>
      <c r="N36" s="113"/>
      <c r="O36" s="99"/>
      <c r="P36" s="99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3771</v>
      </c>
      <c r="AH36" s="113">
        <v>-350000</v>
      </c>
      <c r="AI36" s="99">
        <v>0</v>
      </c>
      <c r="AJ36" s="99">
        <f t="shared" si="5"/>
        <v>135</v>
      </c>
      <c r="AK36" s="113">
        <f t="shared" si="6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32"/>
      <c r="N37" s="113"/>
      <c r="O37" s="99"/>
      <c r="P37" s="99"/>
      <c r="Q37" s="73" t="s">
        <v>4341</v>
      </c>
      <c r="R37" s="112"/>
      <c r="S37" s="112"/>
      <c r="T37" s="112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3771</v>
      </c>
      <c r="AH37" s="113">
        <v>1000</v>
      </c>
      <c r="AI37" s="99">
        <v>1</v>
      </c>
      <c r="AJ37" s="99">
        <f t="shared" si="5"/>
        <v>135</v>
      </c>
      <c r="AK37" s="113">
        <f t="shared" si="6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71" t="s">
        <v>4188</v>
      </c>
      <c r="N38" s="113">
        <f t="shared" ref="N38:N45" si="11">O38*P38</f>
        <v>218636073.5</v>
      </c>
      <c r="O38" s="99">
        <v>1015495</v>
      </c>
      <c r="P38" s="99">
        <v>215.3</v>
      </c>
      <c r="Q38" s="112" t="s">
        <v>267</v>
      </c>
      <c r="R38" s="112" t="s">
        <v>180</v>
      </c>
      <c r="S38" s="112" t="s">
        <v>183</v>
      </c>
      <c r="T38" s="112" t="s">
        <v>8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3775</v>
      </c>
      <c r="AH38" s="113">
        <v>33610000</v>
      </c>
      <c r="AI38" s="99">
        <v>4</v>
      </c>
      <c r="AJ38" s="99">
        <f t="shared" si="5"/>
        <v>134</v>
      </c>
      <c r="AK38" s="113">
        <f t="shared" si="6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99" t="s">
        <v>4272</v>
      </c>
      <c r="N39" s="113">
        <f t="shared" si="11"/>
        <v>4234089.8</v>
      </c>
      <c r="O39" s="99">
        <v>19666</v>
      </c>
      <c r="P39" s="99">
        <f>P38</f>
        <v>215.3</v>
      </c>
      <c r="Q39" s="172">
        <v>186823144</v>
      </c>
      <c r="R39" s="171" t="s">
        <v>4181</v>
      </c>
      <c r="S39" s="171">
        <v>37</v>
      </c>
      <c r="T39" s="171" t="s">
        <v>4339</v>
      </c>
      <c r="V39" t="s">
        <v>25</v>
      </c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4061</v>
      </c>
      <c r="AH39" s="113">
        <v>-15600000</v>
      </c>
      <c r="AI39" s="99">
        <v>3</v>
      </c>
      <c r="AJ39" s="99">
        <f t="shared" si="5"/>
        <v>130</v>
      </c>
      <c r="AK39" s="113">
        <f t="shared" si="6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99"/>
      <c r="N40" s="113"/>
      <c r="O40" s="99"/>
      <c r="P40" s="99"/>
      <c r="Q40" s="172">
        <v>3759803</v>
      </c>
      <c r="R40" s="171" t="s">
        <v>4273</v>
      </c>
      <c r="S40" s="171">
        <f>S39-21</f>
        <v>16</v>
      </c>
      <c r="T40" s="171" t="s">
        <v>4282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3789</v>
      </c>
      <c r="AH40" s="113">
        <v>7500000</v>
      </c>
      <c r="AI40" s="99">
        <v>4</v>
      </c>
      <c r="AJ40" s="99">
        <f t="shared" si="5"/>
        <v>127</v>
      </c>
      <c r="AK40" s="113">
        <f t="shared" si="6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 t="s">
        <v>4292</v>
      </c>
      <c r="N41" s="113">
        <f t="shared" si="11"/>
        <v>77469</v>
      </c>
      <c r="O41" s="187">
        <v>155</v>
      </c>
      <c r="P41" s="99">
        <v>499.8</v>
      </c>
      <c r="Q41" s="172">
        <v>54501</v>
      </c>
      <c r="R41" s="171" t="s">
        <v>4291</v>
      </c>
      <c r="S41" s="171">
        <f>S40-4</f>
        <v>12</v>
      </c>
      <c r="T41" s="171" t="s">
        <v>4290</v>
      </c>
      <c r="U41" s="96"/>
      <c r="V41"/>
      <c r="AB41" t="s">
        <v>25</v>
      </c>
      <c r="AC41" t="s">
        <v>25</v>
      </c>
      <c r="AD41" s="115"/>
      <c r="AF41" s="99">
        <v>22</v>
      </c>
      <c r="AG41" s="113" t="s">
        <v>4062</v>
      </c>
      <c r="AH41" s="113">
        <v>-98000</v>
      </c>
      <c r="AI41" s="99">
        <v>1</v>
      </c>
      <c r="AJ41" s="99">
        <f t="shared" si="5"/>
        <v>123</v>
      </c>
      <c r="AK41" s="113">
        <f t="shared" si="6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 t="s">
        <v>965</v>
      </c>
      <c r="N42" s="113">
        <f t="shared" si="11"/>
        <v>0</v>
      </c>
      <c r="O42" s="69">
        <v>0</v>
      </c>
      <c r="P42" s="69">
        <v>80675</v>
      </c>
      <c r="Q42" s="172">
        <v>11344820</v>
      </c>
      <c r="R42" s="171" t="s">
        <v>4333</v>
      </c>
      <c r="S42" s="171">
        <f>S41-6</f>
        <v>6</v>
      </c>
      <c r="T42" s="171" t="s">
        <v>4338</v>
      </c>
      <c r="U42" s="96"/>
      <c r="V42"/>
      <c r="Z42" s="96"/>
      <c r="AF42" s="99">
        <v>23</v>
      </c>
      <c r="AG42" s="113" t="s">
        <v>4056</v>
      </c>
      <c r="AH42" s="113">
        <v>-26000000</v>
      </c>
      <c r="AI42" s="99">
        <v>0</v>
      </c>
      <c r="AJ42" s="99">
        <f t="shared" si="5"/>
        <v>122</v>
      </c>
      <c r="AK42" s="113">
        <f t="shared" si="6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99" t="s">
        <v>4343</v>
      </c>
      <c r="N43" s="113">
        <f t="shared" si="11"/>
        <v>0</v>
      </c>
      <c r="O43" s="69">
        <v>0</v>
      </c>
      <c r="P43" s="69">
        <v>314.60000000000002</v>
      </c>
      <c r="Q43" s="172">
        <v>12755979</v>
      </c>
      <c r="R43" s="171" t="s">
        <v>4333</v>
      </c>
      <c r="S43" s="171">
        <f>S42</f>
        <v>6</v>
      </c>
      <c r="T43" s="171" t="s">
        <v>4380</v>
      </c>
      <c r="U43" s="96"/>
      <c r="V43"/>
      <c r="Z43" s="96"/>
      <c r="AF43" s="99">
        <v>24</v>
      </c>
      <c r="AG43" s="113" t="s">
        <v>4056</v>
      </c>
      <c r="AH43" s="113">
        <v>25000000</v>
      </c>
      <c r="AI43" s="99">
        <v>1</v>
      </c>
      <c r="AJ43" s="99">
        <f t="shared" si="5"/>
        <v>122</v>
      </c>
      <c r="AK43" s="113">
        <f t="shared" si="6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99" t="s">
        <v>4331</v>
      </c>
      <c r="N44" s="113">
        <f t="shared" si="11"/>
        <v>22106936</v>
      </c>
      <c r="O44" s="69">
        <v>122680</v>
      </c>
      <c r="P44" s="69">
        <v>180.2</v>
      </c>
      <c r="Q44" s="172">
        <v>9560464</v>
      </c>
      <c r="R44" s="171" t="s">
        <v>4346</v>
      </c>
      <c r="S44" s="171">
        <f>S43-1</f>
        <v>5</v>
      </c>
      <c r="T44" s="171" t="s">
        <v>4372</v>
      </c>
      <c r="U44" s="96"/>
      <c r="V44"/>
      <c r="Z44" s="96"/>
      <c r="AF44" s="99">
        <v>25</v>
      </c>
      <c r="AG44" s="113" t="s">
        <v>4057</v>
      </c>
      <c r="AH44" s="113">
        <v>110000</v>
      </c>
      <c r="AI44" s="99">
        <v>1</v>
      </c>
      <c r="AJ44" s="99">
        <f t="shared" si="5"/>
        <v>121</v>
      </c>
      <c r="AK44" s="113">
        <f t="shared" si="6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99" t="s">
        <v>4337</v>
      </c>
      <c r="N45" s="117">
        <f t="shared" si="11"/>
        <v>22237008</v>
      </c>
      <c r="O45" s="69">
        <v>157152</v>
      </c>
      <c r="P45" s="69">
        <v>141.5</v>
      </c>
      <c r="Q45" s="172">
        <v>9788061</v>
      </c>
      <c r="R45" s="171" t="s">
        <v>4346</v>
      </c>
      <c r="S45" s="171">
        <f>S44</f>
        <v>5</v>
      </c>
      <c r="T45" s="171" t="s">
        <v>4347</v>
      </c>
      <c r="U45" s="96"/>
      <c r="AF45" s="99">
        <v>26</v>
      </c>
      <c r="AG45" s="113" t="s">
        <v>3804</v>
      </c>
      <c r="AH45" s="113">
        <v>380000</v>
      </c>
      <c r="AI45" s="99">
        <v>7</v>
      </c>
      <c r="AJ45" s="99">
        <f t="shared" si="5"/>
        <v>120</v>
      </c>
      <c r="AK45" s="113">
        <f t="shared" si="6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2">
        <v>10877284</v>
      </c>
      <c r="R46" s="171" t="s">
        <v>4366</v>
      </c>
      <c r="S46" s="171">
        <f>S45-5</f>
        <v>0</v>
      </c>
      <c r="T46" s="171" t="s">
        <v>4373</v>
      </c>
      <c r="U46" s="96"/>
      <c r="AF46" s="99">
        <v>27</v>
      </c>
      <c r="AG46" s="113" t="s">
        <v>3890</v>
      </c>
      <c r="AH46" s="113">
        <v>450000</v>
      </c>
      <c r="AI46" s="99">
        <v>6</v>
      </c>
      <c r="AJ46" s="99">
        <f t="shared" si="5"/>
        <v>113</v>
      </c>
      <c r="AK46" s="113">
        <f t="shared" si="6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71" t="s">
        <v>1155</v>
      </c>
      <c r="N47" s="117">
        <v>14908</v>
      </c>
      <c r="O47" s="96" t="s">
        <v>25</v>
      </c>
      <c r="P47" t="s">
        <v>25</v>
      </c>
      <c r="Q47" s="172"/>
      <c r="R47" s="171"/>
      <c r="S47" s="171"/>
      <c r="T47" s="171"/>
      <c r="U47" s="96" t="s">
        <v>25</v>
      </c>
      <c r="AF47" s="99">
        <v>28</v>
      </c>
      <c r="AG47" s="113" t="s">
        <v>3915</v>
      </c>
      <c r="AH47" s="113">
        <v>2800000</v>
      </c>
      <c r="AI47" s="99">
        <v>1</v>
      </c>
      <c r="AJ47" s="99">
        <f t="shared" si="5"/>
        <v>107</v>
      </c>
      <c r="AK47" s="113">
        <f t="shared" si="6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71" t="s">
        <v>1156</v>
      </c>
      <c r="N48" s="117">
        <v>5282</v>
      </c>
      <c r="O48" s="96"/>
      <c r="Q48" s="113">
        <f>SUM(N36:N45)-SUM(Q39:Q47)</f>
        <v>22327520.300000012</v>
      </c>
      <c r="R48" s="112"/>
      <c r="S48" s="112"/>
      <c r="T48" s="112"/>
      <c r="U48" s="96"/>
      <c r="AF48" s="99">
        <v>29</v>
      </c>
      <c r="AG48" s="113" t="s">
        <v>3916</v>
      </c>
      <c r="AH48" s="113">
        <v>-1500000</v>
      </c>
      <c r="AI48" s="99">
        <v>0</v>
      </c>
      <c r="AJ48" s="99">
        <f t="shared" si="5"/>
        <v>106</v>
      </c>
      <c r="AK48" s="113">
        <f t="shared" si="6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71"/>
      <c r="L49" s="117"/>
      <c r="M49" s="171"/>
      <c r="N49" s="113"/>
      <c r="O49" s="115"/>
      <c r="P49" s="115"/>
      <c r="Q49" s="26"/>
      <c r="R49" s="188"/>
      <c r="S49" s="188"/>
      <c r="T49" t="s">
        <v>25</v>
      </c>
      <c r="U49" s="96"/>
      <c r="AF49" s="99">
        <v>30</v>
      </c>
      <c r="AG49" s="113" t="s">
        <v>3916</v>
      </c>
      <c r="AH49" s="113">
        <v>3050000</v>
      </c>
      <c r="AI49" s="99">
        <v>3</v>
      </c>
      <c r="AJ49" s="99">
        <f>AJ50+AI49</f>
        <v>106</v>
      </c>
      <c r="AK49" s="113">
        <f t="shared" si="6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71" t="s">
        <v>25</v>
      </c>
      <c r="L50" s="117"/>
      <c r="M50" s="171" t="s">
        <v>4189</v>
      </c>
      <c r="N50" s="113">
        <f>-O50*P50</f>
        <v>-19893289.400000002</v>
      </c>
      <c r="O50" s="99">
        <v>92398</v>
      </c>
      <c r="P50" s="99">
        <f>P38</f>
        <v>215.3</v>
      </c>
      <c r="R50" t="s">
        <v>25</v>
      </c>
      <c r="T50" t="s">
        <v>25</v>
      </c>
      <c r="AF50" s="99">
        <v>31</v>
      </c>
      <c r="AG50" s="113" t="s">
        <v>3941</v>
      </c>
      <c r="AH50" s="113">
        <v>-8299612</v>
      </c>
      <c r="AI50" s="99">
        <v>2</v>
      </c>
      <c r="AJ50" s="99">
        <f t="shared" si="5"/>
        <v>103</v>
      </c>
      <c r="AK50" s="113">
        <f t="shared" si="6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71"/>
      <c r="L51" s="117"/>
      <c r="M51" s="171"/>
      <c r="N51" s="113"/>
      <c r="O51" s="96"/>
      <c r="P51" s="96"/>
      <c r="Q51" t="s">
        <v>25</v>
      </c>
      <c r="R51" t="s">
        <v>25</v>
      </c>
      <c r="T51" t="s">
        <v>950</v>
      </c>
      <c r="U51">
        <v>6.3E-3</v>
      </c>
      <c r="AF51" s="99">
        <v>32</v>
      </c>
      <c r="AG51" s="113" t="s">
        <v>3935</v>
      </c>
      <c r="AH51" s="113">
        <v>5000000</v>
      </c>
      <c r="AI51" s="99">
        <v>14</v>
      </c>
      <c r="AJ51" s="99">
        <f t="shared" si="5"/>
        <v>101</v>
      </c>
      <c r="AK51" s="113">
        <f t="shared" si="6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71" t="s">
        <v>598</v>
      </c>
      <c r="L52" s="113">
        <f>SUM(L16:L44)</f>
        <v>307486465</v>
      </c>
      <c r="M52" s="171"/>
      <c r="N52" s="113">
        <f>SUM(N16:N51)</f>
        <v>446129170.60000002</v>
      </c>
      <c r="O52" t="s">
        <v>25</v>
      </c>
      <c r="Q52" t="s">
        <v>25</v>
      </c>
      <c r="S52" t="s">
        <v>25</v>
      </c>
      <c r="T52" t="s">
        <v>61</v>
      </c>
      <c r="U52">
        <v>4.8999999999999998E-3</v>
      </c>
      <c r="W52" s="99" t="s">
        <v>4255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4348</v>
      </c>
      <c r="AF52" s="99">
        <v>33</v>
      </c>
      <c r="AG52" s="113" t="s">
        <v>991</v>
      </c>
      <c r="AH52" s="113">
        <v>-90000</v>
      </c>
      <c r="AI52" s="99">
        <v>1</v>
      </c>
      <c r="AJ52" s="99">
        <f t="shared" si="5"/>
        <v>87</v>
      </c>
      <c r="AK52" s="113">
        <f t="shared" si="6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71" t="s">
        <v>599</v>
      </c>
      <c r="L53" s="113">
        <f>L16+L17+L22</f>
        <v>173202</v>
      </c>
      <c r="M53" s="171"/>
      <c r="N53" s="113">
        <f>N16+N17+N29</f>
        <v>-2446706</v>
      </c>
      <c r="Q53" s="96">
        <f>O38+O39+O19-O50</f>
        <v>990791</v>
      </c>
      <c r="R53" s="113">
        <f>Q53*P38</f>
        <v>213317302.30000001</v>
      </c>
      <c r="S53" t="s">
        <v>25</v>
      </c>
      <c r="T53" t="s">
        <v>6</v>
      </c>
      <c r="U53">
        <f>U51+U52</f>
        <v>1.12E-2</v>
      </c>
      <c r="W53" s="99" t="s">
        <v>4255</v>
      </c>
      <c r="X53" s="99">
        <v>215</v>
      </c>
      <c r="Y53" s="99">
        <v>33931</v>
      </c>
      <c r="Z53" s="99" t="s">
        <v>1020</v>
      </c>
      <c r="AA53" s="99">
        <v>221.5</v>
      </c>
      <c r="AB53" s="99" t="s">
        <v>4348</v>
      </c>
      <c r="AF53" s="99">
        <v>34</v>
      </c>
      <c r="AG53" s="113" t="s">
        <v>4058</v>
      </c>
      <c r="AH53" s="113">
        <v>5600000</v>
      </c>
      <c r="AI53" s="99">
        <v>4</v>
      </c>
      <c r="AJ53" s="99">
        <f t="shared" si="5"/>
        <v>86</v>
      </c>
      <c r="AK53" s="113">
        <f t="shared" si="6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56" t="s">
        <v>716</v>
      </c>
      <c r="L54" s="1">
        <f>L52+N7</f>
        <v>377486465</v>
      </c>
      <c r="M54" s="113"/>
      <c r="N54" s="171"/>
      <c r="O54" s="22"/>
      <c r="Q54" t="s">
        <v>4288</v>
      </c>
      <c r="R54" t="s">
        <v>4285</v>
      </c>
      <c r="T54" t="s">
        <v>25</v>
      </c>
      <c r="W54" s="99" t="s">
        <v>4255</v>
      </c>
      <c r="X54" s="99">
        <v>213</v>
      </c>
      <c r="Y54" s="99">
        <v>40418</v>
      </c>
      <c r="Z54" s="99" t="s">
        <v>61</v>
      </c>
      <c r="AA54" s="99">
        <v>219.5</v>
      </c>
      <c r="AB54" s="99" t="s">
        <v>4348</v>
      </c>
      <c r="AF54" s="99">
        <v>35</v>
      </c>
      <c r="AG54" s="113" t="s">
        <v>3986</v>
      </c>
      <c r="AH54" s="113">
        <v>750000</v>
      </c>
      <c r="AI54" s="99">
        <v>2</v>
      </c>
      <c r="AJ54" s="99">
        <f t="shared" si="5"/>
        <v>82</v>
      </c>
      <c r="AK54" s="113">
        <f t="shared" si="6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t="s">
        <v>4316</v>
      </c>
      <c r="R55" t="s">
        <v>25</v>
      </c>
      <c r="W55" s="99" t="s">
        <v>4255</v>
      </c>
      <c r="X55" s="99">
        <v>205.5</v>
      </c>
      <c r="Y55" s="99">
        <v>6861</v>
      </c>
      <c r="Z55" s="99" t="s">
        <v>61</v>
      </c>
      <c r="AA55" s="99">
        <v>211.7</v>
      </c>
      <c r="AB55" s="99" t="s">
        <v>4348</v>
      </c>
      <c r="AF55" s="174">
        <v>36</v>
      </c>
      <c r="AG55" s="173" t="s">
        <v>3996</v>
      </c>
      <c r="AH55" s="173">
        <v>-4242000</v>
      </c>
      <c r="AI55" s="174">
        <v>2</v>
      </c>
      <c r="AJ55" s="174">
        <f t="shared" si="5"/>
        <v>80</v>
      </c>
      <c r="AK55" s="173">
        <f t="shared" si="6"/>
        <v>-339360000</v>
      </c>
      <c r="AL55" s="174" t="s">
        <v>4067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4117</v>
      </c>
      <c r="O56" t="s">
        <v>25</v>
      </c>
      <c r="W56" s="99"/>
      <c r="X56" s="171"/>
      <c r="Y56" s="171"/>
      <c r="Z56" s="99"/>
      <c r="AA56" s="99"/>
      <c r="AB56" s="99"/>
      <c r="AF56" s="99">
        <v>37</v>
      </c>
      <c r="AG56" s="113" t="s">
        <v>3996</v>
      </c>
      <c r="AH56" s="113">
        <v>4100000</v>
      </c>
      <c r="AI56" s="99">
        <v>0</v>
      </c>
      <c r="AJ56" s="99">
        <f t="shared" si="5"/>
        <v>78</v>
      </c>
      <c r="AK56" s="113">
        <f t="shared" si="6"/>
        <v>319800000</v>
      </c>
      <c r="AL56" s="99"/>
    </row>
    <row r="57" spans="1:38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4085</v>
      </c>
      <c r="T57" t="s">
        <v>25</v>
      </c>
      <c r="AF57" s="99">
        <v>38</v>
      </c>
      <c r="AG57" s="113" t="s">
        <v>4002</v>
      </c>
      <c r="AH57" s="113">
        <v>4100000</v>
      </c>
      <c r="AI57" s="99">
        <v>1</v>
      </c>
      <c r="AJ57" s="99">
        <f t="shared" si="5"/>
        <v>78</v>
      </c>
      <c r="AK57" s="113">
        <f t="shared" si="6"/>
        <v>319800000</v>
      </c>
      <c r="AL57" s="99"/>
    </row>
    <row r="58" spans="1:38" ht="30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180" t="s">
        <v>4121</v>
      </c>
      <c r="AF58" s="99">
        <v>39</v>
      </c>
      <c r="AG58" s="113" t="s">
        <v>4011</v>
      </c>
      <c r="AH58" s="113">
        <v>790000</v>
      </c>
      <c r="AI58" s="99">
        <v>15</v>
      </c>
      <c r="AJ58" s="99">
        <f t="shared" si="5"/>
        <v>77</v>
      </c>
      <c r="AK58" s="113">
        <f t="shared" si="6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AF59" s="174">
        <v>40</v>
      </c>
      <c r="AG59" s="173" t="s">
        <v>4042</v>
      </c>
      <c r="AH59" s="173">
        <v>-3865000</v>
      </c>
      <c r="AI59" s="174">
        <v>6</v>
      </c>
      <c r="AJ59" s="174">
        <f t="shared" si="5"/>
        <v>62</v>
      </c>
      <c r="AK59" s="175">
        <f t="shared" si="6"/>
        <v>-239630000</v>
      </c>
      <c r="AL59" s="174" t="s">
        <v>4068</v>
      </c>
    </row>
    <row r="60" spans="1:38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4317</v>
      </c>
      <c r="N60" s="96" t="s">
        <v>25</v>
      </c>
      <c r="P60" s="115"/>
      <c r="AF60" s="20">
        <v>41</v>
      </c>
      <c r="AG60" s="117" t="s">
        <v>4072</v>
      </c>
      <c r="AH60" s="117">
        <v>18800000</v>
      </c>
      <c r="AI60" s="20">
        <v>3</v>
      </c>
      <c r="AJ60" s="99">
        <f t="shared" si="5"/>
        <v>56</v>
      </c>
      <c r="AK60" s="113">
        <f t="shared" si="6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4318</v>
      </c>
      <c r="P61" s="115"/>
      <c r="AF61" s="20">
        <v>42</v>
      </c>
      <c r="AG61" s="117" t="s">
        <v>4089</v>
      </c>
      <c r="AH61" s="117">
        <v>500000</v>
      </c>
      <c r="AI61" s="20">
        <v>1</v>
      </c>
      <c r="AJ61" s="99">
        <f t="shared" si="5"/>
        <v>53</v>
      </c>
      <c r="AK61" s="113">
        <f t="shared" si="6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4319</v>
      </c>
      <c r="P62" s="115"/>
      <c r="AF62" s="20">
        <v>43</v>
      </c>
      <c r="AG62" s="117" t="s">
        <v>4093</v>
      </c>
      <c r="AH62" s="117">
        <v>200000</v>
      </c>
      <c r="AI62" s="20">
        <v>3</v>
      </c>
      <c r="AJ62" s="99">
        <f>AJ63+AI62</f>
        <v>52</v>
      </c>
      <c r="AK62" s="113">
        <f t="shared" si="6"/>
        <v>10400000</v>
      </c>
      <c r="AL62" s="20"/>
    </row>
    <row r="63" spans="1:38" x14ac:dyDescent="0.25">
      <c r="E63" s="26"/>
      <c r="K63" s="31" t="s">
        <v>307</v>
      </c>
      <c r="L63" s="1">
        <v>150000</v>
      </c>
      <c r="M63" s="122" t="s">
        <v>4320</v>
      </c>
      <c r="P63" s="115"/>
      <c r="AF63" s="20">
        <v>44</v>
      </c>
      <c r="AG63" s="117" t="s">
        <v>4100</v>
      </c>
      <c r="AH63" s="117">
        <v>1000000</v>
      </c>
      <c r="AI63" s="20">
        <v>3</v>
      </c>
      <c r="AJ63" s="99">
        <f t="shared" si="5"/>
        <v>49</v>
      </c>
      <c r="AK63" s="113">
        <f t="shared" si="6"/>
        <v>49000000</v>
      </c>
      <c r="AL63" s="20"/>
    </row>
    <row r="64" spans="1:38" x14ac:dyDescent="0.25">
      <c r="E64" s="26"/>
      <c r="K64" s="31" t="s">
        <v>308</v>
      </c>
      <c r="L64" s="1">
        <v>300000</v>
      </c>
      <c r="M64" s="193" t="s">
        <v>4321</v>
      </c>
      <c r="P64" s="115"/>
      <c r="AF64" s="20">
        <v>45</v>
      </c>
      <c r="AG64" s="117" t="s">
        <v>4112</v>
      </c>
      <c r="AH64" s="117">
        <v>1300000</v>
      </c>
      <c r="AI64" s="20">
        <v>0</v>
      </c>
      <c r="AJ64" s="99">
        <f>AJ65+AI64</f>
        <v>46</v>
      </c>
      <c r="AK64" s="113">
        <f t="shared" si="6"/>
        <v>59800000</v>
      </c>
      <c r="AL64" s="20"/>
    </row>
    <row r="65" spans="1:38" x14ac:dyDescent="0.25">
      <c r="K65" s="31" t="s">
        <v>309</v>
      </c>
      <c r="L65" s="1">
        <v>100000</v>
      </c>
      <c r="M65" s="194" t="s">
        <v>4324</v>
      </c>
      <c r="P65" s="115"/>
      <c r="Q65" s="188"/>
      <c r="R65" s="188"/>
      <c r="S65" s="115"/>
      <c r="AF65" s="20">
        <v>45</v>
      </c>
      <c r="AG65" s="117" t="s">
        <v>4112</v>
      </c>
      <c r="AH65" s="117">
        <v>995000</v>
      </c>
      <c r="AI65" s="20">
        <v>2</v>
      </c>
      <c r="AJ65" s="99">
        <f t="shared" ref="AJ65:AJ82" si="12">AJ66+AI65</f>
        <v>46</v>
      </c>
      <c r="AK65" s="113">
        <f t="shared" si="6"/>
        <v>45770000</v>
      </c>
      <c r="AL65" s="20"/>
    </row>
    <row r="66" spans="1:38" x14ac:dyDescent="0.25">
      <c r="K66" s="31" t="s">
        <v>310</v>
      </c>
      <c r="L66" s="1">
        <v>200000</v>
      </c>
      <c r="M66" s="122" t="s">
        <v>4343</v>
      </c>
      <c r="P66" s="115"/>
      <c r="Q66" s="115"/>
      <c r="R66" s="115"/>
      <c r="S66" s="115"/>
      <c r="AF66" s="20">
        <v>46</v>
      </c>
      <c r="AG66" s="117" t="s">
        <v>4124</v>
      </c>
      <c r="AH66" s="117">
        <v>13000000</v>
      </c>
      <c r="AI66" s="20">
        <v>2</v>
      </c>
      <c r="AJ66" s="99">
        <f t="shared" si="12"/>
        <v>44</v>
      </c>
      <c r="AK66" s="113">
        <f t="shared" si="6"/>
        <v>572000000</v>
      </c>
      <c r="AL66" s="20"/>
    </row>
    <row r="67" spans="1:38" x14ac:dyDescent="0.25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Q67" s="115"/>
      <c r="R67" s="115"/>
      <c r="S67" s="115"/>
      <c r="AF67" s="20">
        <v>47</v>
      </c>
      <c r="AG67" s="117" t="s">
        <v>4137</v>
      </c>
      <c r="AH67" s="117">
        <v>-3100000</v>
      </c>
      <c r="AI67" s="20">
        <v>3</v>
      </c>
      <c r="AJ67" s="99">
        <f t="shared" si="12"/>
        <v>42</v>
      </c>
      <c r="AK67" s="113">
        <f t="shared" si="6"/>
        <v>-130200000</v>
      </c>
      <c r="AL67" s="20"/>
    </row>
    <row r="68" spans="1:38" x14ac:dyDescent="0.25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4152</v>
      </c>
      <c r="AH68" s="117">
        <v>45640000</v>
      </c>
      <c r="AI68" s="20">
        <v>1</v>
      </c>
      <c r="AJ68" s="99">
        <f t="shared" si="12"/>
        <v>39</v>
      </c>
      <c r="AK68" s="113">
        <f t="shared" si="6"/>
        <v>1779960000</v>
      </c>
      <c r="AL68" s="20"/>
    </row>
    <row r="69" spans="1:38" x14ac:dyDescent="0.25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Q69" s="115"/>
      <c r="R69" s="115"/>
      <c r="S69" s="115"/>
      <c r="W69" s="165"/>
      <c r="AF69" s="20">
        <v>49</v>
      </c>
      <c r="AG69" s="117" t="s">
        <v>4160</v>
      </c>
      <c r="AH69" s="117">
        <v>33500000</v>
      </c>
      <c r="AI69" s="20">
        <v>1</v>
      </c>
      <c r="AJ69" s="99">
        <f t="shared" si="12"/>
        <v>38</v>
      </c>
      <c r="AK69" s="113">
        <f t="shared" si="6"/>
        <v>1273000000</v>
      </c>
      <c r="AL69" s="20"/>
    </row>
    <row r="70" spans="1:38" x14ac:dyDescent="0.25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15"/>
      <c r="R70" s="115"/>
      <c r="S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4165</v>
      </c>
      <c r="AH70" s="117">
        <v>12000000</v>
      </c>
      <c r="AI70" s="20">
        <v>1</v>
      </c>
      <c r="AJ70" s="99">
        <f t="shared" si="12"/>
        <v>37</v>
      </c>
      <c r="AK70" s="117">
        <f t="shared" si="6"/>
        <v>444000000</v>
      </c>
      <c r="AL70" s="20"/>
    </row>
    <row r="71" spans="1:38" x14ac:dyDescent="0.25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4171</v>
      </c>
      <c r="AH71" s="117">
        <v>15500000</v>
      </c>
      <c r="AI71" s="20">
        <v>4</v>
      </c>
      <c r="AJ71" s="99">
        <f t="shared" si="12"/>
        <v>36</v>
      </c>
      <c r="AK71" s="117">
        <f t="shared" si="6"/>
        <v>558000000</v>
      </c>
      <c r="AL71" s="20"/>
    </row>
    <row r="72" spans="1:38" x14ac:dyDescent="0.25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4175</v>
      </c>
      <c r="AH72" s="117">
        <v>150000</v>
      </c>
      <c r="AI72" s="20">
        <v>1</v>
      </c>
      <c r="AJ72" s="99">
        <f t="shared" si="12"/>
        <v>32</v>
      </c>
      <c r="AK72" s="117">
        <f t="shared" si="6"/>
        <v>4800000</v>
      </c>
      <c r="AL72" s="20"/>
    </row>
    <row r="73" spans="1:38" x14ac:dyDescent="0.25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4181</v>
      </c>
      <c r="AH73" s="184">
        <v>29000000</v>
      </c>
      <c r="AI73" s="183">
        <v>15</v>
      </c>
      <c r="AJ73" s="183">
        <f t="shared" si="12"/>
        <v>31</v>
      </c>
      <c r="AK73" s="184">
        <f t="shared" si="6"/>
        <v>899000000</v>
      </c>
      <c r="AL73" s="183" t="s">
        <v>4196</v>
      </c>
    </row>
    <row r="74" spans="1:38" x14ac:dyDescent="0.25">
      <c r="K74" s="32" t="s">
        <v>318</v>
      </c>
      <c r="L74" s="1">
        <v>15000</v>
      </c>
      <c r="N74" s="96"/>
      <c r="P74" s="115"/>
      <c r="Q74" s="115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4221</v>
      </c>
      <c r="AH74" s="117">
        <v>-130000</v>
      </c>
      <c r="AI74" s="20">
        <v>7</v>
      </c>
      <c r="AJ74" s="99">
        <f t="shared" si="12"/>
        <v>16</v>
      </c>
      <c r="AK74" s="117">
        <f t="shared" si="6"/>
        <v>-2080000</v>
      </c>
      <c r="AL74" s="20" t="s">
        <v>4223</v>
      </c>
    </row>
    <row r="75" spans="1:38" x14ac:dyDescent="0.25">
      <c r="K75" s="32" t="s">
        <v>319</v>
      </c>
      <c r="L75" s="1">
        <v>20000</v>
      </c>
      <c r="N75" s="96"/>
      <c r="P75" s="115"/>
      <c r="Q75" s="115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4277</v>
      </c>
      <c r="AH75" s="117">
        <v>232000</v>
      </c>
      <c r="AI75" s="20">
        <v>2</v>
      </c>
      <c r="AJ75" s="99">
        <f t="shared" si="12"/>
        <v>9</v>
      </c>
      <c r="AK75" s="117">
        <f>AH75*AJ75</f>
        <v>2088000</v>
      </c>
      <c r="AL75" s="20" t="s">
        <v>4279</v>
      </c>
    </row>
    <row r="76" spans="1:38" x14ac:dyDescent="0.25">
      <c r="K76" s="32" t="s">
        <v>320</v>
      </c>
      <c r="L76" s="1">
        <v>40000</v>
      </c>
      <c r="N76" s="96"/>
      <c r="P76" s="115"/>
      <c r="Q76" s="115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4291</v>
      </c>
      <c r="AH76" s="117">
        <v>-170000</v>
      </c>
      <c r="AI76" s="20">
        <v>3</v>
      </c>
      <c r="AJ76" s="99">
        <f t="shared" si="12"/>
        <v>7</v>
      </c>
      <c r="AK76" s="117">
        <f t="shared" si="6"/>
        <v>-1190000</v>
      </c>
      <c r="AL76" s="20"/>
    </row>
    <row r="77" spans="1:38" x14ac:dyDescent="0.25">
      <c r="K77" s="32" t="s">
        <v>322</v>
      </c>
      <c r="L77" s="1">
        <v>150000</v>
      </c>
      <c r="N77" s="96"/>
      <c r="P77" s="115"/>
      <c r="Q77" s="115"/>
      <c r="R77" s="115"/>
      <c r="S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4306</v>
      </c>
      <c r="AH77" s="117">
        <v>-300000</v>
      </c>
      <c r="AI77" s="20">
        <v>3</v>
      </c>
      <c r="AJ77" s="99">
        <f t="shared" si="12"/>
        <v>4</v>
      </c>
      <c r="AK77" s="117">
        <f t="shared" si="6"/>
        <v>-1200000</v>
      </c>
      <c r="AL77" s="20"/>
    </row>
    <row r="78" spans="1:38" x14ac:dyDescent="0.25">
      <c r="K78" s="32" t="s">
        <v>324</v>
      </c>
      <c r="L78" s="1">
        <v>75000</v>
      </c>
      <c r="P78" s="115"/>
      <c r="Q78" s="115"/>
      <c r="R78" s="115"/>
      <c r="S78" s="115"/>
      <c r="T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4333</v>
      </c>
      <c r="AH78" s="117">
        <v>-11400000</v>
      </c>
      <c r="AI78" s="20">
        <v>1</v>
      </c>
      <c r="AJ78" s="99">
        <f t="shared" si="12"/>
        <v>1</v>
      </c>
      <c r="AK78" s="117">
        <f t="shared" si="6"/>
        <v>-11400000</v>
      </c>
      <c r="AL78" s="20"/>
    </row>
    <row r="79" spans="1:38" x14ac:dyDescent="0.25">
      <c r="K79" s="32" t="s">
        <v>314</v>
      </c>
      <c r="L79" s="1">
        <v>140000</v>
      </c>
      <c r="P79" s="115"/>
      <c r="Q79" s="115"/>
      <c r="R79" s="115"/>
      <c r="S79" s="115"/>
      <c r="T79" s="115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2"/>
        <v>0</v>
      </c>
      <c r="AK79" s="117">
        <f t="shared" si="6"/>
        <v>0</v>
      </c>
      <c r="AL79" s="20"/>
    </row>
    <row r="80" spans="1:38" x14ac:dyDescent="0.25">
      <c r="K80" s="2" t="s">
        <v>478</v>
      </c>
      <c r="L80" s="3">
        <v>1083333</v>
      </c>
      <c r="P80" s="115"/>
      <c r="Q80" s="55"/>
      <c r="R80" s="189"/>
      <c r="S80" s="115"/>
      <c r="T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12"/>
        <v>0</v>
      </c>
      <c r="AK80" s="117">
        <f t="shared" si="6"/>
        <v>0</v>
      </c>
      <c r="AL80" s="20"/>
    </row>
    <row r="81" spans="11:50" x14ac:dyDescent="0.25">
      <c r="K81" s="2"/>
      <c r="L81" s="3"/>
      <c r="P81" s="128"/>
      <c r="Q81" s="55"/>
      <c r="R81" s="189"/>
      <c r="S81" s="115"/>
      <c r="T81" s="115"/>
      <c r="X81" s="115"/>
      <c r="Y81" s="115"/>
      <c r="AC81" s="115"/>
      <c r="AD81" s="115"/>
      <c r="AF81" s="99"/>
      <c r="AG81" s="113"/>
      <c r="AH81" s="113"/>
      <c r="AI81" s="99"/>
      <c r="AJ81" s="99">
        <f t="shared" si="12"/>
        <v>0</v>
      </c>
      <c r="AK81" s="117">
        <f t="shared" si="6"/>
        <v>0</v>
      </c>
      <c r="AL81" s="99"/>
    </row>
    <row r="82" spans="11:50" x14ac:dyDescent="0.25">
      <c r="K82" s="2"/>
      <c r="L82" s="3"/>
      <c r="P82" s="128"/>
      <c r="Q82" s="26"/>
      <c r="R82" s="189"/>
      <c r="S82" s="115"/>
      <c r="AD82" s="115"/>
      <c r="AF82" s="99"/>
      <c r="AG82" s="113"/>
      <c r="AH82" s="113"/>
      <c r="AI82" s="99"/>
      <c r="AJ82" s="99">
        <f t="shared" si="12"/>
        <v>0</v>
      </c>
      <c r="AK82" s="117">
        <f t="shared" si="6"/>
        <v>0</v>
      </c>
      <c r="AL82" s="99"/>
      <c r="AP82" t="s">
        <v>25</v>
      </c>
      <c r="AU82" t="s">
        <v>25</v>
      </c>
    </row>
    <row r="83" spans="11:50" x14ac:dyDescent="0.25">
      <c r="K83" s="2" t="s">
        <v>6</v>
      </c>
      <c r="L83" s="3">
        <f>SUM(L60:L81)</f>
        <v>3383333</v>
      </c>
      <c r="P83" s="115"/>
      <c r="Q83" s="55"/>
      <c r="R83" s="189"/>
      <c r="S83" s="122"/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K84" s="2" t="s">
        <v>328</v>
      </c>
      <c r="L84" s="3">
        <f>L83/30</f>
        <v>112777.76666666666</v>
      </c>
      <c r="Q84" s="55"/>
      <c r="R84" s="189"/>
      <c r="S84" s="115"/>
      <c r="AF84" s="99"/>
      <c r="AG84" s="99"/>
      <c r="AH84" s="99" t="s">
        <v>4064</v>
      </c>
      <c r="AI84" s="99"/>
      <c r="AJ84" s="99"/>
      <c r="AK84" s="99" t="s">
        <v>284</v>
      </c>
      <c r="AL84" s="99" t="s">
        <v>916</v>
      </c>
      <c r="AX84" t="s">
        <v>25</v>
      </c>
    </row>
    <row r="85" spans="11:50" x14ac:dyDescent="0.25">
      <c r="O85" s="115"/>
      <c r="Q85" s="122"/>
      <c r="R85" s="115"/>
      <c r="S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O86" s="115"/>
      <c r="AF86" s="99"/>
      <c r="AG86" s="99"/>
      <c r="AH86" s="99"/>
      <c r="AI86" s="99"/>
      <c r="AJ86" s="99"/>
      <c r="AK86" s="99" t="s">
        <v>4065</v>
      </c>
      <c r="AL86" s="99">
        <v>0.02</v>
      </c>
    </row>
    <row r="87" spans="11:50" x14ac:dyDescent="0.25"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Q88" s="22"/>
      <c r="AF88" s="99"/>
      <c r="AG88" s="99" t="s">
        <v>4066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AG89" t="s">
        <v>4069</v>
      </c>
      <c r="AH89" s="114">
        <f>SUM(N38:N45)</f>
        <v>267291576.30000001</v>
      </c>
      <c r="AO89" t="s">
        <v>25</v>
      </c>
      <c r="AT89" t="s">
        <v>25</v>
      </c>
    </row>
    <row r="90" spans="11:50" x14ac:dyDescent="0.25">
      <c r="K90" s="48" t="s">
        <v>788</v>
      </c>
      <c r="L90" s="48" t="s">
        <v>476</v>
      </c>
      <c r="AG90" t="s">
        <v>4143</v>
      </c>
      <c r="AH90" s="114">
        <f>AH89-AH83</f>
        <v>56467677.300000012</v>
      </c>
    </row>
    <row r="91" spans="11:50" x14ac:dyDescent="0.25">
      <c r="K91" s="47">
        <v>700000</v>
      </c>
      <c r="L91" s="48" t="s">
        <v>1040</v>
      </c>
      <c r="AG91" t="s">
        <v>944</v>
      </c>
      <c r="AH91" s="114">
        <f>AL83</f>
        <v>9258314.9258064516</v>
      </c>
      <c r="AR91" s="96" t="s">
        <v>25</v>
      </c>
    </row>
    <row r="92" spans="11:50" x14ac:dyDescent="0.25">
      <c r="K92" s="47">
        <v>500000</v>
      </c>
      <c r="L92" s="48" t="s">
        <v>479</v>
      </c>
      <c r="AG92" t="s">
        <v>4070</v>
      </c>
      <c r="AH92" s="114">
        <f>AH89-AH88</f>
        <v>47209362.374193549</v>
      </c>
    </row>
    <row r="93" spans="11:50" x14ac:dyDescent="0.25">
      <c r="K93" s="47">
        <v>180000</v>
      </c>
      <c r="L93" s="48" t="s">
        <v>558</v>
      </c>
    </row>
    <row r="94" spans="11:50" x14ac:dyDescent="0.25">
      <c r="K94" s="47">
        <v>0</v>
      </c>
      <c r="L94" s="48" t="s">
        <v>784</v>
      </c>
      <c r="AH94" t="s">
        <v>25</v>
      </c>
    </row>
    <row r="95" spans="11:50" x14ac:dyDescent="0.25">
      <c r="K95" s="47">
        <v>0</v>
      </c>
      <c r="L95" s="48" t="s">
        <v>785</v>
      </c>
    </row>
    <row r="96" spans="11:50" x14ac:dyDescent="0.25">
      <c r="K96" s="47">
        <v>500000</v>
      </c>
      <c r="L96" s="48" t="s">
        <v>786</v>
      </c>
    </row>
    <row r="97" spans="8:38" x14ac:dyDescent="0.25">
      <c r="K97" s="47">
        <v>75000</v>
      </c>
      <c r="L97" s="48" t="s">
        <v>787</v>
      </c>
    </row>
    <row r="98" spans="8:38" x14ac:dyDescent="0.25">
      <c r="H98" s="96"/>
      <c r="K98" s="47">
        <v>0</v>
      </c>
      <c r="L98" s="48" t="s">
        <v>789</v>
      </c>
    </row>
    <row r="99" spans="8:38" x14ac:dyDescent="0.25">
      <c r="K99" s="47">
        <v>500000</v>
      </c>
      <c r="L99" s="48" t="s">
        <v>564</v>
      </c>
      <c r="AF99" s="99" t="s">
        <v>3644</v>
      </c>
      <c r="AG99" s="99" t="s">
        <v>180</v>
      </c>
      <c r="AH99" s="99" t="s">
        <v>267</v>
      </c>
      <c r="AI99" s="99" t="s">
        <v>4063</v>
      </c>
      <c r="AJ99" s="99" t="s">
        <v>4055</v>
      </c>
      <c r="AK99" s="99" t="s">
        <v>282</v>
      </c>
      <c r="AL99" s="99" t="s">
        <v>4335</v>
      </c>
    </row>
    <row r="100" spans="8:38" x14ac:dyDescent="0.25">
      <c r="K100" s="47">
        <v>50000</v>
      </c>
      <c r="L100" s="48" t="s">
        <v>792</v>
      </c>
      <c r="AF100" s="99">
        <v>1</v>
      </c>
      <c r="AG100" s="99" t="s">
        <v>3954</v>
      </c>
      <c r="AH100" s="117">
        <v>3555820</v>
      </c>
      <c r="AI100" s="99">
        <v>2</v>
      </c>
      <c r="AJ100" s="99">
        <f>AI100+AJ101</f>
        <v>100</v>
      </c>
      <c r="AK100" s="99">
        <f>AH100*AJ100</f>
        <v>355582000</v>
      </c>
      <c r="AL100" s="99" t="s">
        <v>4375</v>
      </c>
    </row>
    <row r="101" spans="8:38" x14ac:dyDescent="0.25">
      <c r="K101" s="47">
        <v>140000</v>
      </c>
      <c r="L101" s="48" t="s">
        <v>314</v>
      </c>
      <c r="AF101" s="99">
        <v>2</v>
      </c>
      <c r="AG101" s="99" t="s">
        <v>4029</v>
      </c>
      <c r="AH101" s="117">
        <v>1720837</v>
      </c>
      <c r="AI101" s="99">
        <v>51</v>
      </c>
      <c r="AJ101" s="99">
        <f t="shared" ref="AJ101:AJ114" si="13">AI101+AJ102</f>
        <v>98</v>
      </c>
      <c r="AK101" s="99">
        <f t="shared" ref="AK101:AK113" si="14">AH101*AJ101</f>
        <v>168642026</v>
      </c>
      <c r="AL101" s="99" t="s">
        <v>4376</v>
      </c>
    </row>
    <row r="102" spans="8:38" x14ac:dyDescent="0.25">
      <c r="K102" s="47"/>
      <c r="L102" s="48" t="s">
        <v>25</v>
      </c>
      <c r="AF102" s="99">
        <v>3</v>
      </c>
      <c r="AG102" s="99" t="s">
        <v>4137</v>
      </c>
      <c r="AH102" s="117">
        <v>150000</v>
      </c>
      <c r="AI102" s="99">
        <v>3</v>
      </c>
      <c r="AJ102" s="99">
        <f t="shared" si="13"/>
        <v>47</v>
      </c>
      <c r="AK102" s="99">
        <f t="shared" si="14"/>
        <v>7050000</v>
      </c>
      <c r="AL102" s="99"/>
    </row>
    <row r="103" spans="8:38" x14ac:dyDescent="0.25">
      <c r="K103" s="47">
        <f>SUM(K91:K102)</f>
        <v>2645000</v>
      </c>
      <c r="L103" s="48" t="s">
        <v>6</v>
      </c>
      <c r="AF103" s="99">
        <v>4</v>
      </c>
      <c r="AG103" s="99" t="s">
        <v>4152</v>
      </c>
      <c r="AH103" s="117">
        <v>-95000</v>
      </c>
      <c r="AI103" s="99">
        <v>8</v>
      </c>
      <c r="AJ103" s="99">
        <f t="shared" si="13"/>
        <v>44</v>
      </c>
      <c r="AK103" s="99">
        <f t="shared" si="14"/>
        <v>-4180000</v>
      </c>
      <c r="AL103" s="99"/>
    </row>
    <row r="104" spans="8:38" x14ac:dyDescent="0.25">
      <c r="AF104" s="99">
        <v>5</v>
      </c>
      <c r="AG104" s="99" t="s">
        <v>4181</v>
      </c>
      <c r="AH104" s="117">
        <v>3150000</v>
      </c>
      <c r="AI104" s="99">
        <v>16</v>
      </c>
      <c r="AJ104" s="99">
        <f t="shared" si="13"/>
        <v>36</v>
      </c>
      <c r="AK104" s="99">
        <f t="shared" si="14"/>
        <v>113400000</v>
      </c>
      <c r="AL104" s="99"/>
    </row>
    <row r="105" spans="8:38" x14ac:dyDescent="0.25">
      <c r="AF105" s="99">
        <v>6</v>
      </c>
      <c r="AG105" s="99" t="s">
        <v>4252</v>
      </c>
      <c r="AH105" s="117">
        <v>-65000</v>
      </c>
      <c r="AI105" s="99">
        <v>1</v>
      </c>
      <c r="AJ105" s="99">
        <f t="shared" si="13"/>
        <v>20</v>
      </c>
      <c r="AK105" s="99">
        <f t="shared" si="14"/>
        <v>-1300000</v>
      </c>
      <c r="AL105" s="99"/>
    </row>
    <row r="106" spans="8:38" x14ac:dyDescent="0.25">
      <c r="AF106" s="99">
        <v>7</v>
      </c>
      <c r="AG106" s="99" t="s">
        <v>4377</v>
      </c>
      <c r="AH106" s="117">
        <v>-95000</v>
      </c>
      <c r="AI106" s="99">
        <v>6</v>
      </c>
      <c r="AJ106" s="99">
        <f t="shared" si="13"/>
        <v>19</v>
      </c>
      <c r="AK106" s="99">
        <f t="shared" si="14"/>
        <v>-1805000</v>
      </c>
      <c r="AL106" s="99"/>
    </row>
    <row r="107" spans="8:38" x14ac:dyDescent="0.25">
      <c r="AF107" s="99">
        <v>8</v>
      </c>
      <c r="AG107" s="99" t="s">
        <v>4378</v>
      </c>
      <c r="AH107" s="117">
        <v>232000</v>
      </c>
      <c r="AI107" s="99">
        <v>7</v>
      </c>
      <c r="AJ107" s="99">
        <f t="shared" si="13"/>
        <v>13</v>
      </c>
      <c r="AK107" s="99">
        <f t="shared" si="14"/>
        <v>3016000</v>
      </c>
      <c r="AL107" s="99"/>
    </row>
    <row r="108" spans="8:38" x14ac:dyDescent="0.25">
      <c r="AF108" s="99">
        <v>9</v>
      </c>
      <c r="AG108" s="99" t="s">
        <v>4333</v>
      </c>
      <c r="AH108" s="117">
        <v>13000000</v>
      </c>
      <c r="AI108" s="99">
        <v>2</v>
      </c>
      <c r="AJ108" s="99">
        <f t="shared" si="13"/>
        <v>6</v>
      </c>
      <c r="AK108" s="99">
        <f t="shared" si="14"/>
        <v>78000000</v>
      </c>
      <c r="AL108" s="99"/>
    </row>
    <row r="109" spans="8:38" x14ac:dyDescent="0.25">
      <c r="AF109" s="99">
        <v>10</v>
      </c>
      <c r="AG109" s="99" t="s">
        <v>4379</v>
      </c>
      <c r="AH109" s="117">
        <v>10000000</v>
      </c>
      <c r="AI109" s="99">
        <v>3</v>
      </c>
      <c r="AJ109" s="99">
        <f t="shared" si="13"/>
        <v>4</v>
      </c>
      <c r="AK109" s="99">
        <f t="shared" si="14"/>
        <v>40000000</v>
      </c>
      <c r="AL109" s="99"/>
    </row>
    <row r="110" spans="8:38" x14ac:dyDescent="0.25">
      <c r="AF110" s="99">
        <v>11</v>
      </c>
      <c r="AG110" s="99" t="s">
        <v>4356</v>
      </c>
      <c r="AH110" s="117">
        <v>3400000</v>
      </c>
      <c r="AI110" s="99">
        <v>1</v>
      </c>
      <c r="AJ110" s="99">
        <f t="shared" si="13"/>
        <v>1</v>
      </c>
      <c r="AK110" s="99">
        <f t="shared" si="14"/>
        <v>3400000</v>
      </c>
      <c r="AL110" s="99"/>
    </row>
    <row r="111" spans="8:38" x14ac:dyDescent="0.25">
      <c r="AF111" s="99">
        <v>12</v>
      </c>
      <c r="AG111" s="99"/>
      <c r="AH111" s="117"/>
      <c r="AI111" s="99"/>
      <c r="AJ111" s="99">
        <f t="shared" si="13"/>
        <v>0</v>
      </c>
      <c r="AK111" s="99">
        <f t="shared" si="14"/>
        <v>0</v>
      </c>
      <c r="AL111" s="99"/>
    </row>
    <row r="112" spans="8:38" x14ac:dyDescent="0.25">
      <c r="AF112" s="99">
        <v>13</v>
      </c>
      <c r="AG112" s="99"/>
      <c r="AH112" s="117"/>
      <c r="AI112" s="99"/>
      <c r="AJ112" s="99">
        <f t="shared" si="13"/>
        <v>0</v>
      </c>
      <c r="AK112" s="99">
        <f t="shared" si="14"/>
        <v>0</v>
      </c>
      <c r="AL112" s="99"/>
    </row>
    <row r="113" spans="32:38" x14ac:dyDescent="0.25">
      <c r="AF113" s="99">
        <v>14</v>
      </c>
      <c r="AG113" s="99"/>
      <c r="AH113" s="99"/>
      <c r="AI113" s="99"/>
      <c r="AJ113" s="99">
        <f t="shared" si="13"/>
        <v>0</v>
      </c>
      <c r="AK113" s="99">
        <f t="shared" si="14"/>
        <v>0</v>
      </c>
      <c r="AL113" s="99"/>
    </row>
    <row r="114" spans="32:38" x14ac:dyDescent="0.25">
      <c r="AF114" s="99">
        <v>15</v>
      </c>
      <c r="AG114" s="99"/>
      <c r="AH114" s="99"/>
      <c r="AI114" s="99"/>
      <c r="AJ114" s="99">
        <f t="shared" si="13"/>
        <v>0</v>
      </c>
      <c r="AK114" s="99"/>
      <c r="AL114" s="99"/>
    </row>
    <row r="115" spans="32:38" x14ac:dyDescent="0.25">
      <c r="AF115" s="99"/>
      <c r="AG115" s="99"/>
      <c r="AH115" s="99"/>
      <c r="AI115" s="99"/>
      <c r="AJ115" s="99"/>
      <c r="AK115" s="99"/>
      <c r="AL115" s="99"/>
    </row>
    <row r="116" spans="32:38" x14ac:dyDescent="0.25">
      <c r="AF116" s="99"/>
      <c r="AG116" s="99"/>
      <c r="AH116" s="95">
        <f>SUM(AH100:AH115)</f>
        <v>34953657</v>
      </c>
      <c r="AI116" s="99"/>
      <c r="AJ116" s="99"/>
      <c r="AK116" s="99">
        <f>SUM(AK100:AK115)</f>
        <v>761805026</v>
      </c>
      <c r="AL116" s="95">
        <f>AK116*AL86/31</f>
        <v>491487.11354838707</v>
      </c>
    </row>
    <row r="117" spans="32:38" x14ac:dyDescent="0.25">
      <c r="AH117" t="s">
        <v>4064</v>
      </c>
      <c r="AK117" t="s">
        <v>284</v>
      </c>
      <c r="AL117" t="s">
        <v>916</v>
      </c>
    </row>
    <row r="119" spans="32:38" x14ac:dyDescent="0.25">
      <c r="AG119" t="s">
        <v>4066</v>
      </c>
      <c r="AH119" s="114">
        <f>AH116+AL116</f>
        <v>35445144.113548391</v>
      </c>
    </row>
    <row r="120" spans="32:38" x14ac:dyDescent="0.25">
      <c r="AG120" t="s">
        <v>4069</v>
      </c>
      <c r="AH120" s="114">
        <f>SUM(N19:N24)</f>
        <v>36338734.700000003</v>
      </c>
    </row>
    <row r="121" spans="32:38" x14ac:dyDescent="0.25">
      <c r="AG121" t="s">
        <v>4143</v>
      </c>
      <c r="AH121" s="114">
        <f>AH120-AH116</f>
        <v>1385077.700000003</v>
      </c>
    </row>
    <row r="122" spans="32:38" x14ac:dyDescent="0.25">
      <c r="AG122" t="s">
        <v>944</v>
      </c>
      <c r="AH122" s="114">
        <f>AL116</f>
        <v>491487.11354838707</v>
      </c>
    </row>
    <row r="123" spans="32:38" x14ac:dyDescent="0.25">
      <c r="AG123" t="s">
        <v>4070</v>
      </c>
      <c r="AH123" s="114">
        <f>AH121-AH122</f>
        <v>893590.58645161591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6 S4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3644</v>
      </c>
      <c r="B1" s="99" t="s">
        <v>4296</v>
      </c>
      <c r="C1" s="99" t="s">
        <v>4297</v>
      </c>
      <c r="D1" s="99" t="s">
        <v>4298</v>
      </c>
      <c r="E1" s="99" t="s">
        <v>4299</v>
      </c>
      <c r="F1" s="74" t="s">
        <v>4300</v>
      </c>
      <c r="M1" s="99" t="s">
        <v>950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4312</v>
      </c>
      <c r="V10" s="96" t="s">
        <v>4314</v>
      </c>
      <c r="W10" t="s">
        <v>4308</v>
      </c>
      <c r="X10" t="s">
        <v>4310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4311</v>
      </c>
      <c r="Q13" s="99" t="s">
        <v>4312</v>
      </c>
      <c r="R13" s="99" t="s">
        <v>4313</v>
      </c>
      <c r="S13" s="99" t="s">
        <v>4307</v>
      </c>
      <c r="T13" s="99" t="s">
        <v>4309</v>
      </c>
      <c r="U13" s="69" t="s">
        <v>4308</v>
      </c>
      <c r="V13" s="69" t="s">
        <v>4310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4301</v>
      </c>
      <c r="F27" s="99" t="s">
        <v>4302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2018-10-29T12:02:13Z</dcterms:modified>
</cp:coreProperties>
</file>