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I135" i="18" l="1"/>
  <c r="Q30" i="18"/>
  <c r="P25" i="18"/>
  <c r="P21" i="18"/>
  <c r="N46" i="18"/>
  <c r="N45" i="18"/>
  <c r="N44" i="18"/>
  <c r="N25" i="18"/>
  <c r="AI89" i="18" l="1"/>
  <c r="AC28" i="18" l="1"/>
  <c r="AD28" i="18" s="1"/>
  <c r="AC27" i="18"/>
  <c r="AD27" i="18" s="1"/>
  <c r="P23" i="18"/>
  <c r="N43" i="18"/>
  <c r="C8" i="36" l="1"/>
  <c r="Q62" i="18" l="1"/>
  <c r="N37" i="18" l="1"/>
  <c r="D91" i="50"/>
  <c r="AI131" i="18" l="1"/>
  <c r="P24" i="18" l="1"/>
  <c r="N24" i="18" s="1"/>
  <c r="N40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6" i="18" l="1"/>
  <c r="AD26" i="18" s="1"/>
  <c r="AK129" i="18"/>
  <c r="N21" i="18"/>
  <c r="S21" i="18"/>
  <c r="S22" i="18" s="1"/>
  <c r="AL129" i="18" l="1"/>
  <c r="AK128" i="18"/>
  <c r="S23" i="18"/>
  <c r="S24" i="18" s="1"/>
  <c r="S25" i="18" s="1"/>
  <c r="S26" i="18" s="1"/>
  <c r="S27" i="18" s="1"/>
  <c r="S28" i="18" s="1"/>
  <c r="P20" i="18"/>
  <c r="N20" i="18" s="1"/>
  <c r="N42" i="18"/>
  <c r="AK127" i="18" l="1"/>
  <c r="AL128" i="18"/>
  <c r="AK126" i="18" l="1"/>
  <c r="AL127" i="18"/>
  <c r="AK125" i="18" l="1"/>
  <c r="AL126" i="18"/>
  <c r="R62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C25" i="18"/>
  <c r="AD25" i="18" s="1"/>
  <c r="AD34" i="18" s="1"/>
  <c r="D73" i="48"/>
  <c r="N23" i="18"/>
  <c r="AD32" i="18" l="1"/>
  <c r="AK122" i="18"/>
  <c r="AL123" i="18"/>
  <c r="N31" i="18"/>
  <c r="AK121" i="18" l="1"/>
  <c r="AL122" i="18"/>
  <c r="P51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B263" i="15"/>
  <c r="AL117" i="18" l="1"/>
  <c r="AK116" i="18"/>
  <c r="AI136" i="18"/>
  <c r="Q20" i="49"/>
  <c r="P20" i="49" s="1"/>
  <c r="S18" i="49"/>
  <c r="R18" i="49" s="1"/>
  <c r="U19" i="49"/>
  <c r="T19" i="49" s="1"/>
  <c r="S40" i="18"/>
  <c r="AK115" i="18" l="1"/>
  <c r="AL116" i="18"/>
  <c r="S41" i="18"/>
  <c r="S42" i="18" s="1"/>
  <c r="S43" i="18" s="1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Q22" i="49"/>
  <c r="P22" i="49"/>
  <c r="U21" i="49"/>
  <c r="T21" i="49" s="1"/>
  <c r="S22" i="49"/>
  <c r="R22" i="49" s="1"/>
  <c r="P39" i="18"/>
  <c r="AL114" i="18" l="1"/>
  <c r="AK113" i="18"/>
  <c r="Q23" i="49"/>
  <c r="P23" i="49"/>
  <c r="U22" i="49"/>
  <c r="T22" i="49" s="1"/>
  <c r="S23" i="49"/>
  <c r="R23" i="49" s="1"/>
  <c r="AK112" i="18" l="1"/>
  <c r="AL113" i="18"/>
  <c r="Q24" i="49"/>
  <c r="P24" i="49" s="1"/>
  <c r="U23" i="49"/>
  <c r="T23" i="49" s="1"/>
  <c r="S24" i="49"/>
  <c r="R24" i="49" s="1"/>
  <c r="C267" i="20"/>
  <c r="AK111" i="18" l="1"/>
  <c r="AL112" i="18"/>
  <c r="Q25" i="49"/>
  <c r="P25" i="49" s="1"/>
  <c r="U24" i="49"/>
  <c r="T24" i="49" s="1"/>
  <c r="S25" i="49"/>
  <c r="R25" i="49" s="1"/>
  <c r="B8" i="36"/>
  <c r="AK110" i="18" l="1"/>
  <c r="AL111" i="18"/>
  <c r="Q26" i="49"/>
  <c r="P26" i="49" s="1"/>
  <c r="U25" i="49"/>
  <c r="T25" i="49" s="1"/>
  <c r="S26" i="49"/>
  <c r="R26" i="49" s="1"/>
  <c r="B10" i="36"/>
  <c r="AK109" i="18" l="1"/>
  <c r="AL110" i="18"/>
  <c r="S44" i="18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U26" i="49"/>
  <c r="T26" i="49" s="1"/>
  <c r="AK108" i="18" l="1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29" i="18"/>
  <c r="K242" i="20" l="1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K241" i="20" s="1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1" i="20" l="1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7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1" i="18"/>
  <c r="AK76" i="18" l="1"/>
  <c r="AL77" i="18"/>
  <c r="AK75" i="18" l="1"/>
  <c r="AL76" i="18"/>
  <c r="N38" i="18"/>
  <c r="Q57" i="18" s="1"/>
  <c r="AI95" i="18" l="1"/>
  <c r="AI96" i="18" s="1"/>
  <c r="AK74" i="18"/>
  <c r="AL75" i="18"/>
  <c r="AK73" i="18" l="1"/>
  <c r="AL74" i="18"/>
  <c r="R68" i="18"/>
  <c r="V54" i="18" l="1"/>
  <c r="V53" i="18"/>
  <c r="V52" i="18"/>
  <c r="V28" i="18"/>
  <c r="V51" i="18"/>
  <c r="V27" i="18"/>
  <c r="V50" i="18"/>
  <c r="V48" i="18"/>
  <c r="V49" i="18"/>
  <c r="V46" i="18"/>
  <c r="V47" i="18"/>
  <c r="V45" i="18"/>
  <c r="V22" i="18"/>
  <c r="V24" i="18"/>
  <c r="V39" i="18"/>
  <c r="V25" i="18"/>
  <c r="V26" i="18"/>
  <c r="V20" i="18"/>
  <c r="V21" i="18"/>
  <c r="V23" i="18"/>
  <c r="V40" i="18"/>
  <c r="V41" i="18"/>
  <c r="V42" i="18"/>
  <c r="V43" i="18"/>
  <c r="V44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E173" i="13"/>
  <c r="G174" i="13"/>
  <c r="D238" i="15"/>
  <c r="F239" i="15"/>
  <c r="X720" i="41"/>
  <c r="U2123" i="41"/>
  <c r="AI94" i="18" l="1"/>
  <c r="AI98" i="18" s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4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4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3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4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5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4" i="18" l="1"/>
  <c r="L53" i="18"/>
  <c r="E33" i="13"/>
  <c r="G34" i="13"/>
  <c r="I97" i="20"/>
  <c r="K97" i="20"/>
  <c r="J97" i="20"/>
  <c r="F108" i="15"/>
  <c r="C20" i="18"/>
  <c r="G20" i="14"/>
  <c r="G21" i="14"/>
  <c r="L55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<sst xmlns="http://schemas.openxmlformats.org/spreadsheetml/2006/main" count="9443" uniqueCount="4479">
  <si>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</si>
  <si>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</si>
  <si>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</si>
  <si>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</si>
  <si>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</si>
  <si>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</si>
  <si>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</si>
  <si>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</si>
  <si>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</si>
  <si>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</si>
  <si>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</si>
  <si>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</si>
  <si>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</si>
  <si>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</si>
  <si>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</si>
  <si>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</si>
  <si>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</si>
  <si>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</si>
  <si>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</si>
  <si>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</si>
  <si>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</si>
  <si>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</si>
  <si>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</si>
  <si>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</si>
  <si>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</si>
  <si>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</si>
  <si>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</si>
  <si>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</si>
  <si>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</si>
  <si>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</si>
  <si>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</si>
  <si>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</si>
  <si>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</si>
  <si>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</si>
  <si>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</si>
  <si>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</si>
  <si>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</si>
  <si>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</si>
  <si>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</si>
  <si>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</si>
  <si>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</si>
  <si>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</si>
  <si>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</si>
  <si>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</si>
  <si>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</si>
  <si>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</si>
  <si>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</si>
  <si>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</si>
  <si>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</si>
  <si>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</si>
  <si>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</si>
  <si>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</si>
  <si>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</si>
  <si>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</si>
  <si>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</si>
  <si>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</si>
  <si>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</si>
  <si>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</si>
  <si>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</si>
  <si>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</si>
  <si>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</si>
  <si>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</si>
  <si>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</si>
  <si>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</si>
  <si>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</si>
  <si>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</si>
  <si>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</si>
  <si>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</si>
  <si>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</si>
  <si>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</si>
  <si>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</si>
  <si>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</si>
  <si>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</si>
  <si>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</si>
  <si>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</si>
  <si>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</si>
  <si>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</si>
  <si>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</si>
  <si>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</si>
  <si>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</si>
  <si>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</si>
  <si>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</si>
  <si>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</si>
  <si>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</si>
  <si>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</si>
  <si>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</si>
  <si>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</si>
  <si>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</si>
  <si>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</si>
  <si>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</si>
  <si>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</si>
  <si>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</si>
  <si>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</si>
  <si>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</si>
  <si>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</si>
  <si>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</si>
  <si>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</si>
  <si>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</si>
  <si>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</si>
  <si>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</si>
  <si>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</si>
  <si>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</si>
  <si>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</si>
  <si>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</si>
  <si>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</si>
  <si>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</si>
  <si>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</si>
  <si>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</si>
  <si>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</si>
  <si>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</si>
  <si>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</si>
  <si>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</si>
  <si>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</si>
  <si>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</si>
  <si>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</si>
  <si>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</si>
  <si>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</si>
  <si>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</si>
  <si>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</si>
  <si>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</si>
  <si>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</si>
  <si>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</si>
  <si>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</si>
  <si>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</si>
  <si>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</si>
  <si>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</si>
  <si>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</si>
  <si>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</si>
  <si>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</si>
  <si>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</si>
  <si>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</si>
  <si>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</si>
  <si>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</si>
  <si>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</si>
  <si>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</si>
  <si>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</si>
  <si>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</si>
  <si>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</si>
  <si>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</si>
  <si>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</si>
  <si>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</si>
  <si>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</si>
  <si>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</si>
  <si>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</si>
  <si>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</si>
  <si>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</si>
  <si>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</si>
  <si>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</si>
  <si>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</si>
  <si>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</si>
  <si>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</si>
  <si>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</si>
  <si>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</si>
  <si>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</si>
  <si>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</si>
  <si>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</si>
  <si>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</si>
  <si>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</si>
  <si>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</si>
  <si>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</si>
  <si>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</si>
  <si>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</si>
  <si>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</si>
  <si>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</si>
  <si>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</si>
  <si>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</si>
  <si>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</si>
  <si>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</si>
  <si>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</si>
  <si>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</si>
  <si>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</si>
  <si>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</si>
  <si>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</si>
  <si>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</si>
  <si>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</si>
  <si>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</si>
  <si>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</si>
  <si>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</si>
  <si>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</si>
  <si>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</si>
  <si>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</si>
  <si>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</si>
  <si>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</si>
  <si>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</si>
  <si>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</si>
  <si>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</si>
  <si>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</si>
  <si>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</si>
  <si>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</si>
  <si>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</si>
  <si>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</si>
  <si>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</si>
  <si>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</si>
  <si>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</si>
  <si>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</si>
  <si>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</si>
  <si>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</si>
  <si>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</si>
  <si>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</si>
  <si>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</si>
  <si>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</si>
  <si>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</si>
  <si>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</si>
  <si>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</si>
  <si>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</si>
  <si>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</si>
  <si>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</si>
  <si>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</si>
  <si>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</si>
  <si>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</si>
  <si>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</si>
  <si>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</si>
  <si>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</si>
  <si>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</si>
  <si>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</si>
  <si>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</si>
  <si>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</si>
  <si>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</si>
  <si>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</si>
  <si>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</si>
  <si>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</si>
  <si>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</si>
  <si>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</si>
  <si>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</si>
  <si>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</si>
  <si>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</si>
  <si>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</si>
  <si>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</si>
  <si>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</si>
  <si>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</si>
  <si>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</si>
  <si>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</si>
  <si>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</si>
  <si>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</si>
  <si>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</si>
  <si>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</si>
  <si>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</si>
  <si>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</si>
  <si>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</si>
  <si>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</si>
  <si>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</si>
  <si>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</si>
  <si>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</si>
  <si>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</si>
  <si>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</si>
  <si>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</si>
  <si>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</si>
  <si>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</si>
  <si>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</si>
  <si>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</si>
  <si>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</si>
  <si>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</si>
  <si>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</si>
  <si>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</si>
  <si>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</si>
  <si>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</si>
  <si>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</si>
  <si>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</si>
  <si>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</si>
  <si>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</si>
  <si>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</si>
  <si>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</si>
  <si>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</si>
  <si>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</si>
  <si>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</si>
  <si>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</si>
  <si>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</si>
  <si>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</si>
  <si>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</si>
  <si>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</si>
  <si>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</si>
  <si>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</si>
  <si>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</si>
  <si>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</si>
  <si>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</si>
  <si>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</si>
  <si>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</si>
  <si>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</si>
  <si>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</si>
  <si>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</si>
  <si>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</si>
  <si>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</si>
  <si>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</si>
  <si>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</si>
  <si>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</si>
  <si>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</si>
  <si>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</si>
  <si>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</si>
  <si>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</si>
  <si>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</si>
  <si>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</si>
  <si>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</si>
  <si>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</si>
  <si>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</si>
  <si>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</si>
  <si>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</si>
  <si>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</si>
  <si>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</si>
  <si>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</si>
  <si>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</si>
  <si>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</si>
  <si>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</si>
  <si>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</si>
  <si>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</si>
  <si>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</si>
  <si>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</si>
  <si>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</si>
  <si>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</si>
  <si>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</si>
  <si>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</si>
  <si>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</si>
  <si>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</si>
  <si>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</si>
  <si>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</si>
  <si>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</si>
  <si>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</si>
  <si>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</si>
  <si>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</si>
  <si>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</si>
  <si>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</si>
  <si>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</si>
  <si>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</si>
  <si>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</si>
  <si>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</si>
  <si>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</si>
  <si>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</si>
  <si>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</si>
  <si>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</si>
  <si>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</si>
  <si>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</si>
  <si>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</si>
  <si>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</si>
  <si>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</si>
  <si>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</si>
  <si>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</si>
  <si>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</si>
  <si>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</si>
  <si>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</si>
  <si>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</si>
  <si>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</si>
  <si>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</si>
  <si>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</si>
  <si>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</si>
  <si>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</si>
  <si>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</si>
  <si>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</si>
  <si>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</si>
  <si>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</si>
  <si>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</si>
  <si>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</si>
  <si>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</si>
  <si>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</si>
  <si>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</si>
  <si>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</si>
  <si>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</si>
  <si>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</si>
  <si>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</si>
  <si>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</si>
  <si>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</si>
  <si>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</si>
  <si>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</si>
  <si>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</si>
  <si>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</si>
  <si>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</si>
  <si>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</si>
  <si>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</si>
  <si>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</si>
  <si>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</si>
  <si>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</si>
  <si>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</si>
  <si>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</si>
  <si>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</si>
  <si>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</si>
  <si>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</si>
  <si>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</si>
  <si>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</si>
  <si>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</si>
  <si>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</si>
  <si>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</si>
  <si>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</si>
  <si>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</si>
  <si>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</si>
  <si>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</si>
  <si>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</si>
  <si>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</si>
  <si>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</si>
  <si>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</si>
  <si>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</si>
  <si>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</si>
  <si>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</si>
  <si>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</si>
  <si>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</si>
  <si>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</si>
  <si>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</si>
  <si>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</si>
  <si>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</si>
  <si>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</si>
  <si>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</si>
  <si>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</si>
  <si>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</si>
  <si>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</si>
  <si>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</si>
  <si>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</si>
  <si>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</si>
  <si>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</si>
  <si>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</si>
  <si>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</si>
  <si>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</si>
  <si>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</si>
  <si>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</si>
  <si>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</si>
  <si>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</si>
  <si>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</si>
  <si>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</si>
  <si>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</si>
  <si>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</si>
  <si>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</si>
  <si>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</si>
  <si>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</si>
  <si>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</si>
  <si>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</si>
  <si>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</si>
  <si>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</si>
  <si>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</si>
  <si>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</si>
  <si>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</si>
  <si>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</si>
  <si>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</si>
  <si>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</si>
  <si>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</si>
  <si>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</si>
  <si>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</si>
  <si>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</si>
  <si>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</si>
  <si>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</si>
  <si>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</si>
  <si>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</si>
  <si>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</si>
  <si>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</si>
  <si>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</si>
  <si>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</si>
  <si>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</si>
  <si>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</si>
  <si>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</si>
  <si>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</si>
  <si>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</si>
  <si>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</si>
  <si>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</si>
  <si>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</si>
  <si>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</si>
  <si>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</si>
  <si>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</si>
  <si>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</si>
  <si>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</si>
  <si>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</si>
  <si>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</si>
  <si>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</si>
  <si>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</si>
  <si>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</si>
  <si>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</si>
  <si>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</si>
  <si>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</si>
  <si>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</si>
  <si>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</si>
  <si>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</si>
  <si>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</si>
  <si>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</si>
  <si>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</si>
  <si>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</si>
  <si>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</si>
  <si>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</si>
  <si>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</si>
  <si>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</si>
  <si>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</si>
  <si>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</si>
  <si>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</si>
  <si>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</si>
  <si>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</si>
  <si>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</si>
  <si>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</si>
  <si>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</si>
  <si>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</si>
  <si>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</si>
  <si>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</si>
  <si>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</si>
  <si>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</si>
  <si>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</si>
  <si>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</si>
  <si>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</si>
  <si>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</si>
  <si>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</si>
  <si>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</si>
  <si>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</si>
  <si>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</si>
  <si>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</si>
  <si>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</si>
  <si>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</si>
  <si>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</si>
  <si>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</si>
  <si>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</si>
  <si>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</si>
  <si>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</si>
  <si>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</si>
  <si>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</si>
  <si>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</si>
  <si>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</si>
  <si>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</si>
  <si>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</si>
  <si>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</si>
  <si>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</si>
  <si>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</si>
  <si>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</si>
  <si>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</si>
  <si>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</si>
  <si>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</si>
  <si>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</si>
  <si>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</si>
  <si>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</si>
  <si>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</si>
  <si>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</si>
  <si>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</si>
  <si>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</si>
  <si>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</si>
  <si>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</si>
  <si>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</si>
  <si>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</si>
  <si>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</si>
  <si>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</si>
  <si>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</si>
  <si>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</si>
  <si>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</si>
  <si>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</si>
  <si>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</si>
  <si>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</si>
  <si>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</si>
  <si>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</si>
  <si>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</si>
  <si>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</si>
  <si>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</si>
  <si>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</si>
  <si>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</si>
  <si>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</si>
  <si>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</si>
  <si>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</si>
  <si>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</si>
  <si>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</si>
  <si>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</si>
  <si>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</si>
  <si>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</si>
  <si>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</si>
  <si>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</si>
  <si>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</si>
  <si>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</si>
  <si>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</si>
  <si>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</si>
  <si>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</si>
  <si>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</si>
  <si>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</si>
  <si>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</si>
  <si>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</si>
  <si>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</si>
  <si>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</si>
  <si>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</si>
  <si>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</si>
  <si>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</si>
  <si>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</si>
  <si>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</si>
  <si>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</si>
  <si>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</si>
  <si>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</si>
  <si>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</si>
  <si>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</si>
  <si>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</si>
  <si>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</si>
  <si>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</si>
  <si>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</si>
  <si>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</si>
  <si>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</si>
  <si>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</si>
  <si>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</si>
  <si>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</si>
  <si>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</si>
  <si>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</si>
  <si>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</si>
  <si>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</si>
  <si>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</si>
  <si>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</si>
  <si>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</si>
  <si>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</si>
  <si>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</si>
  <si>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</si>
  <si>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</si>
  <si>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</si>
  <si>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</si>
  <si>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</si>
  <si>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</si>
  <si>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</si>
  <si>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</si>
  <si>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</si>
  <si>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</si>
  <si>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</si>
  <si>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</si>
  <si>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</si>
  <si>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</si>
  <si>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</si>
  <si>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</si>
  <si>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</si>
  <si>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</si>
  <si>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</si>
  <si>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</si>
  <si>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</si>
  <si>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</si>
  <si>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</si>
  <si>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</si>
  <si>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</si>
  <si>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</si>
  <si>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</si>
  <si>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</si>
  <si>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</si>
  <si>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</si>
  <si>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</si>
  <si>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</si>
  <si>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</si>
  <si>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</si>
  <si>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</si>
  <si>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</si>
  <si>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</si>
  <si>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</si>
  <si>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</si>
  <si>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</si>
  <si>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</si>
  <si>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</si>
  <si>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</si>
  <si>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</si>
  <si>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</si>
  <si>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</si>
  <si>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</si>
  <si>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</si>
  <si>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</si>
  <si>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</si>
  <si>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</si>
  <si>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</si>
  <si>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</si>
  <si>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</si>
  <si>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</si>
  <si>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</si>
  <si>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</si>
  <si>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</si>
  <si>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</si>
  <si>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</si>
  <si>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</si>
  <si>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</si>
  <si>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</si>
  <si>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</si>
  <si>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</si>
  <si>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</si>
  <si>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</si>
  <si>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</si>
  <si>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</si>
  <si>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</si>
  <si>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</si>
  <si>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</si>
  <si>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</si>
  <si>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</si>
  <si>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</si>
  <si>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</si>
  <si>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</si>
  <si>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</si>
  <si>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</si>
  <si>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</si>
  <si>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</si>
  <si>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</si>
  <si>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</si>
  <si>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</si>
  <si>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</si>
  <si>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</si>
  <si>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</si>
  <si>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</si>
  <si>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</si>
  <si>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</si>
  <si>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</si>
  <si>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</si>
  <si>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</si>
  <si>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</si>
  <si>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</si>
  <si>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</si>
  <si>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</si>
  <si>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</si>
  <si>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</si>
  <si>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</si>
  <si>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</si>
  <si>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</si>
  <si>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</si>
  <si>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</si>
  <si>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</si>
  <si>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</si>
  <si>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</si>
  <si>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</si>
  <si>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</si>
  <si>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</si>
  <si>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</si>
  <si>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</si>
  <si>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</si>
  <si>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</si>
  <si>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</si>
  <si>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</si>
  <si>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</si>
  <si>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</si>
  <si>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</si>
  <si>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</si>
  <si>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</si>
  <si>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</si>
  <si>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</si>
  <si>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</si>
  <si>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</si>
  <si>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</si>
  <si>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</si>
  <si>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</si>
  <si>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</si>
  <si>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</si>
  <si>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</si>
  <si>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</si>
  <si>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</si>
  <si>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</si>
  <si>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</si>
  <si>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</si>
  <si>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</si>
  <si>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</si>
  <si>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</si>
  <si>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</si>
  <si>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</si>
  <si>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</si>
  <si>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</si>
  <si>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</si>
  <si>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</si>
  <si>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</si>
  <si>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</si>
  <si>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</si>
  <si>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</si>
  <si>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</si>
  <si>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</si>
  <si>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</si>
  <si>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</si>
  <si>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</si>
  <si>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</si>
  <si>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</si>
  <si>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</si>
  <si>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</si>
  <si>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</si>
  <si>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</si>
  <si>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</si>
  <si>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</si>
  <si>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</si>
  <si>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</si>
  <si>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</si>
  <si>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</si>
  <si>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</si>
  <si>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</si>
  <si>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</si>
  <si>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</si>
  <si>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</si>
  <si>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</si>
  <si>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</si>
  <si>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</si>
  <si>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</si>
  <si>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</si>
  <si>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</si>
  <si>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</si>
  <si>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</si>
  <si>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</si>
  <si>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</si>
  <si>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</si>
  <si>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</si>
  <si>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</si>
  <si>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</si>
  <si>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</si>
  <si>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</si>
  <si>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</si>
  <si>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</si>
  <si>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</si>
  <si>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</si>
  <si>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</si>
  <si>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</si>
  <si>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</si>
  <si>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</si>
  <si>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</si>
  <si>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</si>
  <si>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</si>
  <si>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</si>
  <si>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</si>
  <si>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</si>
  <si>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</si>
  <si>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</si>
  <si>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</si>
  <si>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</si>
  <si>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</si>
  <si>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</si>
  <si>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</si>
  <si>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</si>
  <si>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</si>
  <si>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</si>
  <si>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</si>
  <si>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</si>
  <si>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</si>
  <si>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</si>
  <si>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</si>
  <si>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</si>
  <si>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</si>
  <si>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</si>
  <si>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</si>
  <si>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</si>
  <si>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</si>
  <si>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</si>
  <si>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</si>
  <si>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</si>
  <si>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</si>
  <si>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</si>
  <si>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</si>
  <si>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</si>
  <si>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</si>
  <si>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</si>
  <si>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</si>
  <si>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</si>
  <si>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</si>
  <si>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</si>
  <si>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</si>
  <si>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</si>
  <si>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</si>
  <si>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</si>
  <si>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</si>
  <si>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</si>
  <si>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</si>
  <si>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</si>
  <si>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</si>
  <si>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</si>
  <si>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</si>
  <si>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</si>
  <si>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</si>
  <si>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</si>
  <si>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</si>
  <si>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</si>
  <si>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</si>
  <si>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</si>
  <si>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</si>
  <si>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</si>
  <si>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</si>
  <si>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</si>
  <si>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</si>
  <si>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</si>
  <si>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</si>
  <si>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</si>
  <si>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</si>
  <si>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</si>
  <si>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</si>
  <si>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</si>
  <si>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</si>
  <si>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</si>
  <si>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</si>
  <si>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</si>
  <si>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</si>
  <si>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</si>
  <si>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</si>
  <si>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</si>
  <si>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</si>
  <si>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</si>
  <si>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</si>
  <si>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</si>
  <si>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</si>
  <si>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</si>
  <si>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</si>
  <si>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</si>
  <si>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</si>
  <si>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</si>
  <si>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</si>
  <si>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</si>
  <si>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</si>
  <si>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</si>
  <si>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</si>
  <si>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</si>
  <si>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</si>
  <si>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</si>
  <si>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</si>
  <si>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</si>
  <si>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</si>
  <si>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</si>
  <si>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</si>
  <si>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</si>
  <si>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</si>
  <si>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</si>
  <si>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</si>
  <si>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</si>
  <si>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</si>
  <si>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</si>
  <si>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</si>
  <si>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</si>
  <si>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</si>
  <si>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</si>
  <si>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</si>
  <si>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</si>
  <si>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</si>
  <si>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</si>
  <si>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</si>
  <si>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</si>
  <si>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</si>
  <si>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</si>
  <si>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</si>
  <si>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</si>
  <si>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</si>
  <si>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</si>
  <si>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</si>
  <si>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</si>
  <si>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</si>
  <si>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</si>
  <si>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</si>
  <si>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</si>
  <si>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</si>
  <si>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</si>
  <si>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</si>
  <si>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</si>
  <si>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</si>
  <si>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</si>
  <si>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</si>
  <si>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</si>
  <si>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</si>
  <si>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</si>
  <si>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</si>
  <si>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</si>
  <si>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</si>
  <si>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</si>
  <si>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</si>
  <si>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</si>
  <si>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</si>
  <si>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</si>
  <si>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</si>
  <si>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</si>
  <si>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</si>
  <si>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</si>
  <si>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</si>
  <si>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</si>
  <si>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</si>
  <si>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</si>
  <si>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</si>
  <si>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</si>
  <si>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</si>
  <si>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</si>
  <si>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</si>
  <si>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</si>
  <si>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</si>
  <si>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</si>
  <si>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</si>
  <si>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</si>
  <si>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</si>
  <si>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</si>
  <si>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</si>
  <si>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</si>
  <si>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</si>
  <si>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</si>
  <si>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</si>
  <si>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</si>
  <si>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</si>
  <si>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</si>
  <si>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</si>
  <si>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</si>
  <si>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</si>
  <si>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</si>
  <si>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</si>
  <si>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</si>
  <si>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</si>
  <si>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</si>
  <si>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</si>
  <si>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</si>
  <si>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</si>
  <si>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</si>
  <si>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</si>
  <si>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</si>
  <si>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</si>
  <si>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</si>
  <si>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</si>
  <si>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</si>
  <si>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</si>
  <si>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</si>
  <si>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</si>
  <si>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</si>
  <si>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</si>
  <si>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</si>
  <si>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</si>
  <si>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</si>
  <si>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</si>
  <si>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</si>
  <si>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</si>
  <si>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</si>
  <si>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</si>
  <si>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</si>
  <si>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</si>
  <si>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</si>
  <si>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</si>
  <si>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</si>
  <si>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</si>
  <si>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</si>
  <si>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</si>
  <si>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</si>
  <si>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</si>
  <si>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</si>
  <si>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</si>
  <si>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</si>
  <si>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</si>
  <si>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</si>
  <si>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</si>
  <si>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</si>
  <si>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</si>
  <si>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</si>
  <si>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</si>
  <si>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</si>
  <si>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</si>
  <si>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</si>
  <si>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</si>
  <si>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</si>
  <si>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</si>
  <si>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</si>
  <si>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</si>
  <si>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</si>
  <si>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</si>
  <si>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</si>
  <si>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</si>
  <si>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</si>
  <si>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</si>
  <si>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</si>
  <si>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</si>
  <si>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</si>
  <si>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</si>
  <si>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</si>
  <si>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</si>
  <si>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</si>
  <si>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</si>
  <si>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</si>
  <si>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</si>
  <si>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</si>
  <si>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</si>
  <si>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</si>
  <si>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</si>
  <si>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</si>
  <si>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</si>
  <si>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</si>
  <si>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</si>
  <si>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</si>
  <si>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</si>
  <si>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</si>
  <si>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</si>
  <si>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</si>
  <si>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</si>
  <si>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</si>
  <si>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</si>
  <si>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</si>
  <si>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</si>
  <si>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</si>
  <si>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</si>
  <si>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</si>
  <si>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</si>
  <si>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</si>
  <si>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</si>
  <si>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</si>
  <si>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</si>
  <si>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</si>
  <si>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</si>
  <si>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</si>
  <si>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</si>
  <si>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</si>
  <si>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</si>
  <si>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</si>
  <si>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</si>
  <si>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</si>
  <si>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</si>
  <si>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</si>
  <si>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</si>
  <si>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</si>
  <si>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</si>
  <si>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</si>
  <si>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</si>
  <si>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</si>
  <si>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</si>
  <si>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</si>
  <si>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</si>
  <si>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</si>
  <si>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</si>
  <si>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</si>
  <si>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</si>
  <si>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</si>
  <si>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</si>
  <si>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</si>
  <si>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</si>
  <si>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</si>
  <si>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</si>
  <si>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</si>
  <si>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</si>
  <si>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</si>
  <si>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</si>
  <si>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</si>
  <si>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</si>
  <si>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</si>
  <si>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</si>
  <si>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</si>
  <si>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</si>
  <si>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</si>
  <si>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</si>
  <si>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</si>
  <si>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</si>
  <si>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</si>
  <si>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</si>
  <si>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</si>
  <si>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</si>
  <si>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</si>
  <si>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</si>
  <si>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</si>
  <si>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</si>
  <si>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</si>
  <si>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</si>
  <si>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</si>
  <si>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</si>
  <si>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</si>
  <si>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</si>
  <si>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</si>
  <si>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</si>
  <si>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</si>
  <si>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</si>
  <si>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</si>
  <si>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</si>
  <si>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</si>
  <si>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</si>
  <si>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</si>
  <si>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</si>
  <si>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</si>
  <si>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</si>
  <si>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</si>
  <si>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</si>
  <si>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</si>
  <si>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</si>
  <si>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</si>
  <si>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</si>
  <si>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</si>
  <si>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</si>
  <si>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</si>
  <si>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</si>
  <si>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</si>
  <si>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</si>
  <si>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</si>
  <si>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</si>
  <si>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</si>
  <si>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</si>
  <si>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</si>
  <si>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</si>
  <si>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</si>
  <si>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</si>
  <si>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</si>
  <si>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</si>
  <si>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</si>
  <si>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</si>
  <si>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</si>
  <si>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</si>
  <si>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</si>
  <si>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</si>
  <si>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</si>
  <si>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</si>
  <si>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</si>
  <si>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</si>
  <si>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</si>
  <si>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</si>
  <si>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</si>
  <si>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</si>
  <si>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</si>
  <si>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</si>
  <si>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</si>
  <si>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</si>
  <si>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</si>
  <si>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</si>
  <si>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</si>
  <si>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</si>
  <si>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</si>
  <si>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</si>
  <si>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</si>
  <si>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</si>
  <si>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</si>
  <si>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</si>
  <si>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</si>
  <si>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</si>
  <si>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</si>
  <si>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</si>
  <si>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</si>
  <si>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</si>
  <si>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</si>
  <si>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</si>
  <si>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</si>
  <si>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</si>
  <si>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</si>
  <si>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</si>
  <si>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</si>
  <si>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</si>
  <si>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</si>
  <si>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</si>
  <si>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</si>
  <si>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</si>
  <si>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</si>
  <si>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</si>
  <si>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</si>
  <si>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</si>
  <si>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</si>
  <si>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</si>
  <si>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</si>
  <si>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</si>
  <si>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</si>
  <si>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</si>
  <si>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</si>
  <si>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</si>
  <si>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</si>
  <si>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</si>
  <si>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</si>
  <si>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</si>
  <si>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</si>
  <si>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</si>
  <si>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</si>
  <si>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</si>
  <si>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</si>
  <si>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</si>
  <si>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</si>
  <si>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</si>
  <si>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</si>
  <si>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</si>
  <si>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</si>
  <si>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</si>
  <si>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</si>
  <si>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</si>
  <si>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</si>
  <si>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</si>
  <si>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</si>
  <si>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</si>
  <si>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</si>
  <si>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</si>
  <si>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</si>
  <si>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</si>
  <si>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</si>
  <si>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</si>
  <si>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</si>
  <si>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</si>
  <si>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</si>
  <si>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</si>
  <si>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</si>
  <si>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</si>
  <si>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</si>
  <si>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</si>
  <si>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</si>
  <si>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</si>
  <si>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</si>
  <si>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</si>
  <si>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</si>
  <si>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</si>
  <si>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</si>
  <si>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</si>
  <si>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</si>
  <si>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</si>
  <si>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</si>
  <si>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</si>
  <si>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</si>
  <si>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</si>
  <si>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</si>
  <si>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</si>
  <si>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</si>
  <si>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</si>
  <si>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</si>
  <si>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</si>
  <si>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</si>
  <si>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</si>
  <si>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</si>
  <si>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</si>
  <si>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</si>
  <si>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</si>
  <si>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</si>
  <si>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</si>
  <si>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</si>
  <si>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</si>
  <si>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</si>
  <si>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</si>
  <si>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</si>
  <si>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</si>
  <si>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</si>
  <si>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</si>
  <si>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</si>
  <si>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</si>
  <si>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</si>
  <si>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</si>
  <si>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</si>
  <si>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</si>
  <si>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</si>
  <si>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</si>
  <si>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</si>
  <si>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</si>
  <si>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</si>
  <si>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</si>
  <si>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</si>
  <si>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</si>
  <si>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</si>
  <si>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</si>
  <si>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</si>
  <si>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</si>
  <si>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</si>
  <si>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</si>
  <si>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</si>
  <si>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</si>
  <si>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</si>
  <si>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</si>
  <si>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</si>
  <si>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</si>
  <si>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</si>
  <si>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</si>
  <si>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</si>
  <si>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</si>
  <si>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</si>
  <si>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</si>
  <si>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</si>
  <si>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</si>
  <si>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</si>
  <si>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</si>
  <si>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</si>
  <si>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</si>
  <si>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</si>
  <si>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</si>
  <si>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</si>
  <si>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</si>
  <si>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</si>
  <si>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</si>
  <si>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</si>
  <si>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</si>
  <si>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</si>
  <si>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</si>
  <si>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</si>
  <si>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</si>
  <si>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</si>
  <si>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</si>
  <si>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</si>
  <si>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</si>
  <si>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</si>
  <si>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</si>
  <si>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</si>
  <si>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</si>
  <si>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</si>
  <si>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</si>
  <si>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</si>
  <si>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</si>
  <si>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</si>
  <si>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</si>
  <si>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</si>
  <si>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</si>
  <si>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</si>
  <si>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</si>
  <si>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</si>
  <si>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</si>
  <si>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</si>
  <si>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</si>
  <si>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</si>
  <si>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</si>
  <si>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</si>
  <si>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</si>
  <si>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</si>
  <si>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</si>
  <si>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</si>
  <si>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</si>
  <si>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</si>
  <si>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</si>
  <si>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</si>
  <si>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</si>
  <si>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</si>
  <si>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</si>
  <si>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</si>
  <si>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</si>
  <si>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</si>
  <si>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</si>
  <si>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</si>
  <si>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</si>
  <si>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</si>
  <si>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</si>
  <si>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</si>
  <si>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</si>
  <si>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</si>
  <si>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</si>
  <si>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</si>
  <si>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</si>
  <si>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</si>
  <si>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</si>
  <si>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</si>
  <si>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</si>
  <si>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</si>
  <si>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</si>
  <si>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</si>
  <si>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</si>
  <si>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</si>
  <si>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</si>
  <si>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</si>
  <si>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</si>
  <si>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</si>
  <si>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</si>
  <si>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</si>
  <si>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</si>
  <si>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</si>
  <si>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</si>
  <si>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</si>
  <si>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</si>
  <si>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</si>
  <si>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</si>
  <si>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</si>
  <si>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</si>
  <si>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</si>
  <si>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</si>
  <si>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</si>
  <si>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</si>
  <si>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</si>
  <si>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</si>
  <si>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</si>
  <si>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</si>
  <si>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</si>
  <si>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</si>
  <si>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</si>
  <si>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</si>
  <si>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</si>
  <si>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</si>
  <si>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</si>
  <si>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</si>
  <si>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</si>
  <si>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</si>
  <si>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</si>
  <si>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</si>
  <si>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</si>
  <si>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</si>
  <si>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</si>
  <si>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</si>
  <si>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</si>
  <si>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</si>
  <si>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</si>
  <si>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</si>
  <si>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</si>
  <si>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</si>
  <si>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</si>
  <si>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</si>
  <si>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</si>
  <si>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</si>
  <si>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</si>
  <si>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</si>
  <si>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</si>
  <si>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</si>
  <si>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</si>
  <si>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</si>
  <si>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</si>
  <si>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</si>
  <si>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</si>
  <si>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</si>
  <si>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</si>
  <si>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</si>
  <si>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</si>
  <si>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</si>
  <si>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</si>
  <si>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</si>
  <si>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</si>
  <si>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</si>
  <si>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</si>
  <si>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</si>
  <si>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</si>
  <si>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</si>
  <si>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</si>
  <si>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</si>
  <si>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</si>
  <si>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</si>
  <si>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</si>
  <si>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</si>
  <si>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</si>
  <si>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</si>
  <si>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</si>
  <si>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</si>
  <si>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</si>
  <si>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</si>
  <si>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</si>
  <si>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</si>
  <si>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</si>
  <si>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</si>
  <si>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</si>
  <si>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</si>
  <si>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</si>
  <si>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</si>
  <si>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</si>
  <si>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</si>
  <si>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</si>
  <si>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</si>
  <si>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</si>
  <si>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</si>
  <si>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</si>
  <si>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</si>
  <si>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</si>
  <si>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</si>
  <si>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</si>
  <si>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</si>
  <si>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</si>
  <si>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</si>
  <si>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</si>
  <si>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</si>
  <si>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</si>
  <si>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</si>
  <si>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</si>
  <si>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</si>
  <si>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</si>
  <si>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</si>
  <si>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</si>
  <si>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</si>
  <si>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</si>
  <si>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</si>
  <si>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</si>
  <si>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</si>
  <si>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</si>
  <si>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</si>
  <si>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</si>
  <si>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</si>
  <si>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</si>
  <si>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</si>
  <si>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</si>
  <si>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</si>
  <si>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</si>
  <si>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</si>
  <si>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</si>
  <si>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</si>
  <si>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</si>
  <si>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</si>
  <si>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</si>
  <si>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</si>
  <si>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</si>
  <si>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</si>
  <si>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</si>
  <si>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</si>
  <si>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</si>
  <si>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</si>
  <si>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</si>
  <si>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</si>
  <si>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</si>
  <si>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</si>
  <si>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</si>
  <si>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</si>
  <si>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</si>
  <si>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</si>
  <si>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</si>
  <si>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</si>
  <si>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</si>
  <si>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</si>
  <si>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</si>
  <si>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</si>
  <si>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</si>
  <si>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</si>
  <si>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</si>
  <si>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</si>
  <si>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</si>
  <si>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</si>
  <si>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</si>
  <si>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</si>
  <si>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</si>
  <si>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</si>
  <si>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</si>
  <si>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</si>
  <si>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</si>
  <si>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</si>
  <si>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</si>
  <si>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</si>
  <si>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</si>
  <si>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</si>
  <si>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</si>
  <si>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</si>
  <si>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</si>
  <si>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</si>
  <si>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</si>
  <si>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</si>
  <si>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</si>
  <si>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</si>
  <si>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</si>
  <si>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</si>
  <si>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</si>
  <si>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</si>
  <si>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</si>
  <si>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</si>
  <si>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</si>
  <si>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</si>
  <si>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</si>
  <si>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</si>
  <si>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</si>
  <si>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</si>
  <si>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</si>
  <si>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</si>
  <si>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</si>
  <si>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</si>
  <si>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</si>
  <si>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</si>
  <si>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</si>
  <si>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</si>
  <si>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</si>
  <si>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</si>
  <si>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</si>
  <si>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</si>
  <si>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</si>
  <si>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</si>
  <si>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</si>
  <si>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</si>
  <si>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</si>
  <si>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</si>
  <si>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</si>
  <si>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</si>
  <si>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</si>
  <si>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</si>
  <si>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</si>
  <si>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</si>
  <si>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</si>
  <si>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</si>
  <si>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</si>
  <si>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</si>
  <si>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</si>
  <si>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</si>
  <si>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</si>
  <si>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</si>
  <si>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</si>
  <si>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</si>
  <si>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</si>
  <si>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</si>
  <si>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</si>
  <si>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</si>
  <si>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</si>
  <si>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</si>
  <si>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</si>
  <si>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</si>
  <si>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</si>
  <si>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</si>
  <si>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</si>
  <si>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</si>
  <si>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</si>
  <si>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</si>
  <si>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</si>
  <si>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</si>
  <si>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</si>
  <si>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</si>
  <si>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</si>
  <si>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</si>
  <si>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</si>
  <si>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</si>
  <si>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</si>
  <si>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</si>
  <si>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</si>
  <si>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</si>
  <si>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</si>
  <si>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</si>
  <si>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</si>
  <si>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</si>
  <si>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</si>
  <si>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</si>
  <si>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</si>
  <si>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</si>
  <si>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</si>
  <si>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</si>
  <si>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</si>
  <si>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</si>
  <si>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</si>
  <si>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</si>
  <si>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</si>
  <si>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</si>
  <si>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</si>
  <si>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</si>
  <si>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</si>
  <si>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</si>
  <si>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</si>
  <si>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</si>
  <si>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</si>
  <si>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</si>
  <si>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</si>
  <si>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</si>
  <si>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</si>
  <si>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</si>
  <si>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</si>
  <si>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</si>
  <si>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</si>
  <si>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</si>
  <si>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</si>
  <si>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</si>
  <si>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</si>
  <si>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</si>
  <si>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</si>
  <si>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</si>
  <si>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</si>
  <si>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</si>
  <si>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</si>
  <si>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</si>
  <si>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</si>
  <si>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</si>
  <si>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</si>
  <si>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</si>
  <si>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</si>
  <si>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</si>
  <si>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</si>
  <si>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</si>
  <si>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</si>
  <si>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</si>
  <si>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</si>
  <si>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</si>
  <si>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</si>
  <si>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</si>
  <si>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</si>
  <si>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</si>
  <si>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</si>
  <si>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</si>
  <si>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</si>
  <si>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</si>
  <si>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</si>
  <si>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</si>
  <si>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</si>
  <si>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</si>
  <si>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</si>
  <si>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</si>
  <si>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</si>
  <si>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</si>
  <si>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</si>
  <si>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</si>
  <si>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</si>
  <si>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</si>
  <si>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</si>
  <si>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</si>
  <si>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</si>
  <si>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</si>
  <si>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</si>
  <si>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</si>
  <si>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</si>
  <si>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</si>
  <si>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</si>
  <si>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</si>
  <si>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</si>
  <si>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</si>
  <si>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</si>
  <si>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</si>
  <si>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</si>
  <si>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</si>
  <si>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</si>
  <si>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</si>
  <si>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</si>
  <si>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</si>
  <si>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</si>
  <si>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</si>
  <si>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</si>
  <si>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</si>
  <si>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</si>
  <si>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</si>
  <si>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</si>
  <si>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</si>
  <si>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</si>
  <si>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</si>
  <si>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</si>
  <si>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</si>
  <si>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</si>
  <si>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</si>
  <si>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</si>
  <si>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</si>
  <si>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</si>
  <si>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</si>
  <si>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</si>
  <si>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</si>
  <si>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</si>
  <si>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</si>
  <si>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</si>
  <si>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</si>
  <si>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</si>
  <si>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</si>
  <si>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</si>
  <si>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</si>
  <si>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</si>
  <si>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</si>
  <si>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</si>
  <si>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</si>
  <si>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</si>
  <si>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</si>
  <si>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</si>
  <si>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</si>
  <si>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</si>
  <si>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</si>
  <si>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</si>
  <si>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</si>
  <si>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</si>
  <si>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</si>
  <si>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</si>
  <si>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</si>
  <si>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</si>
  <si>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</si>
  <si>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</si>
  <si>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</si>
  <si>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</si>
  <si>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</si>
  <si>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</si>
  <si>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</si>
  <si>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</si>
  <si>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</si>
  <si>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</si>
  <si>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</si>
  <si>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</si>
  <si>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</si>
  <si>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</si>
  <si>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</si>
  <si>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</si>
  <si>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</si>
  <si>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</si>
  <si>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</si>
  <si>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</si>
  <si>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</si>
  <si>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</si>
  <si>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</si>
  <si>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</si>
  <si>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</si>
  <si>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</si>
  <si>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</si>
  <si>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</si>
  <si>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</si>
  <si>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</si>
  <si>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</si>
  <si>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</si>
  <si>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</si>
  <si>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</si>
  <si>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</si>
  <si>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</si>
  <si>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</si>
  <si>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</si>
  <si>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</si>
  <si>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</si>
  <si>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</si>
  <si>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</si>
  <si>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</si>
  <si>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</si>
  <si>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</si>
  <si>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</si>
  <si>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</si>
  <si>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</si>
  <si>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</si>
  <si>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</si>
  <si>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</si>
  <si>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</si>
  <si>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</si>
  <si>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</si>
  <si>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</si>
  <si>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</si>
  <si>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</si>
  <si>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</si>
  <si>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</si>
  <si>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</si>
  <si>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</si>
  <si>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</si>
  <si>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</si>
  <si>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</si>
  <si>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</si>
  <si>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</si>
  <si>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</si>
  <si>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</si>
  <si>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</si>
  <si>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</si>
  <si>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</si>
  <si>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</si>
  <si>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</si>
  <si>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</si>
  <si>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</si>
  <si>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</si>
  <si>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</si>
  <si>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</si>
  <si>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</si>
  <si>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</si>
  <si>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</si>
  <si>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</si>
  <si>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</si>
  <si>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</si>
  <si>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</si>
  <si>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</si>
  <si>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</si>
  <si>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</si>
  <si>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</si>
  <si>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</si>
  <si>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</si>
  <si>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</si>
  <si>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</si>
  <si>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</si>
  <si>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</si>
  <si>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</si>
  <si>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</si>
  <si>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</si>
  <si>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</si>
  <si>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</si>
  <si>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</si>
  <si>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</si>
  <si>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</si>
  <si>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</si>
  <si>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</si>
  <si>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</si>
  <si>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</si>
  <si>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</si>
  <si>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</si>
  <si>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</si>
  <si>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</si>
  <si>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</si>
  <si>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</si>
  <si>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</si>
  <si>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</si>
  <si>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</si>
  <si>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</si>
  <si>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</si>
  <si>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</si>
  <si>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</si>
  <si>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</si>
  <si>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</si>
  <si>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</si>
  <si>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</si>
  <si>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</si>
  <si>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</si>
  <si>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</si>
  <si>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</si>
  <si>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</si>
  <si>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</si>
  <si>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</si>
  <si>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</si>
  <si>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</si>
  <si>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</si>
  <si>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</si>
  <si>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</si>
  <si>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</si>
  <si>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</si>
  <si>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</si>
  <si>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</si>
  <si>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</si>
  <si>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</si>
  <si>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</si>
  <si>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</si>
  <si>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</si>
  <si>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</si>
  <si>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</si>
  <si>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</si>
  <si>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</si>
  <si>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</si>
  <si>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</si>
  <si>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</si>
  <si>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</si>
  <si>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</si>
  <si>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</si>
  <si>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</si>
  <si>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</si>
  <si>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</si>
  <si>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</si>
  <si>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</si>
  <si>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</si>
  <si>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</si>
  <si>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</si>
  <si>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</si>
  <si>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</si>
  <si>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</si>
  <si>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</si>
  <si>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</si>
  <si>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</si>
  <si>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</si>
  <si>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</si>
  <si>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</si>
  <si>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</si>
  <si>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</si>
  <si>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</si>
  <si>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</si>
  <si>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</si>
  <si>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</si>
  <si>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</si>
  <si>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</si>
  <si>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</si>
  <si>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</si>
  <si>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</si>
  <si>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</si>
  <si>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</si>
  <si>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</si>
  <si>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</si>
  <si>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</si>
  <si>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</si>
  <si>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</si>
  <si>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</si>
  <si>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</si>
  <si>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</si>
  <si>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</si>
  <si>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</si>
  <si>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</si>
  <si>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</si>
  <si>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</si>
  <si>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</si>
  <si>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</si>
  <si>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</si>
  <si>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</si>
  <si>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</si>
  <si>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</si>
  <si>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</si>
  <si>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</si>
  <si>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</si>
  <si>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</si>
  <si>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</si>
  <si>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</si>
  <si>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</si>
  <si>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</si>
  <si>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</si>
  <si>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</si>
  <si>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</si>
  <si>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</si>
  <si>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</si>
  <si>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</si>
  <si>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</si>
  <si>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</si>
  <si>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</si>
  <si>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</si>
  <si>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</si>
  <si>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</si>
  <si>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</si>
  <si>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</si>
  <si>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</si>
  <si>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</si>
  <si>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</si>
  <si>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</si>
  <si>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</si>
  <si>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</si>
  <si>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</si>
  <si>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</si>
  <si>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</si>
  <si>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</si>
  <si>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</si>
  <si>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</si>
  <si>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</si>
  <si>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</si>
  <si>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</si>
  <si>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</si>
  <si>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</si>
  <si>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</si>
  <si>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</si>
  <si>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</si>
  <si>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</si>
  <si>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</si>
  <si>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</si>
  <si>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</si>
  <si>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</si>
  <si>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</si>
  <si>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</si>
  <si>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</si>
  <si>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</si>
  <si>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</si>
  <si>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</si>
  <si>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</si>
  <si>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</si>
  <si>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</si>
  <si>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</si>
  <si>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</si>
  <si>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</si>
  <si>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</si>
  <si>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</si>
  <si>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</si>
  <si>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</si>
  <si>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</si>
  <si>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</si>
  <si>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</si>
  <si>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</si>
  <si>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</si>
  <si>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</si>
  <si>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</si>
  <si>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</si>
  <si>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</si>
  <si>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</si>
  <si>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</si>
  <si>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</si>
  <si>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</si>
  <si>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</si>
  <si>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</si>
  <si>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</si>
  <si>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</si>
  <si>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</si>
  <si>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</si>
  <si>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</si>
  <si>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</si>
  <si>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</si>
  <si>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</si>
  <si>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</si>
  <si>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</si>
  <si>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</si>
  <si>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</si>
  <si>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</si>
  <si>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</si>
  <si>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</si>
  <si>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</si>
  <si>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</si>
  <si>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</si>
  <si>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</si>
  <si>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</si>
  <si>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</si>
  <si>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</si>
  <si>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</si>
  <si>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</si>
  <si>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</si>
  <si>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</si>
  <si>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</si>
  <si>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</si>
  <si>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</si>
  <si>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</si>
  <si>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</si>
  <si>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</si>
  <si>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</si>
  <si>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</si>
  <si>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</si>
  <si>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</si>
  <si>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</si>
  <si>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</si>
  <si>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</si>
  <si>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</si>
  <si>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</si>
  <si>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</si>
  <si>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</si>
  <si>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</si>
  <si>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</si>
  <si>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</si>
  <si>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</si>
  <si>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</si>
  <si>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</si>
  <si>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</si>
  <si>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</si>
  <si>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</si>
  <si>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</si>
  <si>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</si>
  <si>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</si>
  <si>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</si>
  <si>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</si>
  <si>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</si>
  <si>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</si>
  <si>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</si>
  <si>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</si>
  <si>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</si>
  <si>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</si>
  <si>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</si>
  <si>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</si>
  <si>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</si>
  <si>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</si>
  <si>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</si>
  <si>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</si>
  <si>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</si>
  <si>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</si>
  <si>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</si>
  <si>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</si>
  <si>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</si>
  <si>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</si>
  <si>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</si>
  <si>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</si>
  <si>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</si>
  <si>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</si>
  <si>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</si>
  <si>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</si>
  <si>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</si>
  <si>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</si>
  <si>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</si>
  <si>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</si>
  <si>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</si>
  <si>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</si>
  <si>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</si>
  <si>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</si>
  <si>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</si>
  <si>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</si>
  <si>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</si>
  <si>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</si>
  <si>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</si>
  <si>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</si>
  <si>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</si>
  <si>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</si>
  <si>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</si>
  <si>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</si>
  <si>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</si>
  <si>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</si>
  <si>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</si>
  <si>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</si>
  <si>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</si>
  <si>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</si>
  <si>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</si>
  <si>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</si>
  <si>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</si>
  <si>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</si>
  <si>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</si>
  <si>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</si>
  <si>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</si>
  <si>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</si>
  <si>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</si>
  <si>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</si>
  <si>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</si>
  <si>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</si>
  <si>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</si>
  <si>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</si>
  <si>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</si>
  <si>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</si>
  <si>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</si>
  <si>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</si>
  <si>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</si>
  <si>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</si>
  <si>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</si>
  <si>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</si>
  <si>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</si>
  <si>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</si>
  <si>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</si>
  <si>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</si>
  <si>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</si>
  <si>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</si>
  <si>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</si>
  <si>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</si>
  <si>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</si>
  <si>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</si>
  <si>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</si>
  <si>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</si>
  <si>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</si>
  <si>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</si>
  <si>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</si>
  <si>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</si>
  <si>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</si>
  <si>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</si>
  <si>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</si>
  <si>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</si>
  <si>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</si>
  <si>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</si>
  <si>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</si>
  <si>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</si>
  <si>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</si>
  <si>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</si>
  <si>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</si>
  <si>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</si>
  <si>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</si>
  <si>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</si>
  <si>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</si>
  <si>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</si>
  <si>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</si>
  <si>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</si>
  <si>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</si>
  <si>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</si>
  <si>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</si>
  <si>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</si>
  <si>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</si>
  <si>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</si>
  <si>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</si>
  <si>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</si>
  <si>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</si>
  <si>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</si>
  <si>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</si>
  <si>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</si>
  <si>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</si>
  <si>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</si>
  <si>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</si>
  <si>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</si>
  <si>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</si>
  <si>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</si>
  <si>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</si>
  <si>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</si>
  <si>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</si>
  <si>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</si>
  <si>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</si>
  <si>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</si>
  <si>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</si>
  <si>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</si>
  <si>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</si>
  <si>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</si>
  <si>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</si>
  <si>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</si>
  <si>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</si>
  <si>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</si>
  <si>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</si>
  <si>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</si>
  <si>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</si>
  <si>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</si>
  <si>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</si>
  <si>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</si>
  <si>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</si>
  <si>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</si>
  <si>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</si>
  <si>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</si>
  <si>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</si>
  <si>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</si>
  <si>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</si>
  <si>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</si>
  <si>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</si>
  <si>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</si>
  <si>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</si>
  <si>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</si>
  <si>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</si>
  <si>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</si>
  <si>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</si>
  <si>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</si>
  <si>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</si>
  <si>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</si>
  <si>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</si>
  <si>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</si>
  <si>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</si>
  <si>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</si>
  <si>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</si>
  <si>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</si>
  <si>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</si>
  <si>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</si>
  <si>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</si>
  <si>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</si>
  <si>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</si>
  <si>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</si>
  <si>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</si>
  <si>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</si>
  <si>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</si>
  <si>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</si>
  <si>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</si>
  <si>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</si>
  <si>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</si>
  <si>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</si>
  <si>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</si>
  <si>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</si>
  <si>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</si>
  <si>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</si>
  <si>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</si>
  <si>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</si>
  <si>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</si>
  <si>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</si>
  <si>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</si>
  <si>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</si>
  <si>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</si>
  <si>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</si>
  <si>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</si>
  <si>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</si>
  <si>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</si>
  <si>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</si>
  <si>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</si>
  <si>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</si>
  <si>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</si>
  <si>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</si>
  <si>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</si>
  <si>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</si>
  <si>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</si>
  <si>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</si>
  <si>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</si>
  <si>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</si>
  <si>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</si>
  <si>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</si>
  <si>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</si>
  <si>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</si>
  <si>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</si>
  <si>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</si>
  <si>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</si>
  <si>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</si>
  <si>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</si>
  <si>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</si>
  <si>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</si>
  <si>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</si>
  <si>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</si>
  <si>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</si>
  <si>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</si>
  <si>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</si>
  <si>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</si>
  <si>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</si>
  <si>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</si>
  <si>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</si>
  <si>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</si>
  <si>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</si>
  <si>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</si>
  <si>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</si>
  <si>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</si>
  <si>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</si>
  <si>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</si>
  <si>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</si>
  <si>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</si>
  <si>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</si>
  <si>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</si>
  <si>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</si>
  <si>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</si>
  <si>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</si>
  <si>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</si>
  <si>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</si>
  <si>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</si>
  <si>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</si>
  <si>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</si>
  <si>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</si>
  <si>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</si>
  <si>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</si>
  <si>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</si>
  <si>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</si>
  <si>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</si>
  <si>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</si>
  <si>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</si>
  <si>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</si>
  <si>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</si>
  <si>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</si>
  <si>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</si>
  <si>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</si>
  <si>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</si>
  <si>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</si>
  <si>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</si>
  <si>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</si>
  <si>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</si>
  <si>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</si>
  <si>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</si>
  <si>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</si>
  <si>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</si>
  <si>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</si>
  <si>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</si>
  <si>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</si>
  <si>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</si>
  <si>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</si>
  <si>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</si>
  <si>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</si>
  <si>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</si>
  <si>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</si>
  <si>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</si>
  <si>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</si>
  <si>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</si>
  <si>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</si>
  <si>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</si>
  <si>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</si>
  <si>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</si>
  <si>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</si>
  <si>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</si>
  <si>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</si>
  <si>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</si>
  <si>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</si>
  <si>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</si>
  <si>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</si>
  <si>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</si>
  <si>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</si>
  <si>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</si>
  <si>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</si>
  <si>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</si>
  <si>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</si>
  <si>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</si>
  <si>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</si>
  <si>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</si>
  <si>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</si>
  <si>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</si>
  <si>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</si>
  <si>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</si>
  <si>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</si>
  <si>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</si>
  <si>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</si>
  <si>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</si>
  <si>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</si>
  <si>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</si>
  <si>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</si>
  <si>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</si>
  <si>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</si>
  <si>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</si>
  <si>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</si>
  <si>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</si>
  <si>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</si>
  <si>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</si>
  <si>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</si>
  <si>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</si>
  <si>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</si>
  <si>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</si>
  <si>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</si>
  <si>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</si>
  <si>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</si>
  <si>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</si>
  <si>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</si>
  <si>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</si>
  <si>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</si>
  <si>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</si>
  <si>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</si>
  <si>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</si>
  <si>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</si>
  <si>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</si>
  <si>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</si>
  <si>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</si>
  <si>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</si>
  <si>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</si>
  <si>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</si>
  <si>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</si>
  <si>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</si>
  <si>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</si>
  <si>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</si>
  <si>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</si>
  <si>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</si>
  <si>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</si>
  <si>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</si>
  <si>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</si>
  <si>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</si>
  <si>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</si>
  <si>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</si>
  <si>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</si>
  <si>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</si>
  <si>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</si>
  <si>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</si>
  <si>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</si>
  <si>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</si>
  <si>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</si>
  <si>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</si>
  <si>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</si>
  <si>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</si>
  <si>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</si>
  <si>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</si>
  <si>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</si>
  <si>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</si>
  <si>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</si>
  <si>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</si>
  <si>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</si>
  <si>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</si>
  <si>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</si>
  <si>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</si>
  <si>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</si>
  <si>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</si>
  <si>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</si>
  <si>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</si>
  <si>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</si>
  <si>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</si>
  <si>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</si>
  <si>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</si>
  <si>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</si>
  <si>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</si>
  <si>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</si>
  <si>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</si>
  <si>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</si>
  <si>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</si>
  <si>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</si>
  <si>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</si>
  <si>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</si>
  <si>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</si>
  <si>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</si>
  <si>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</si>
  <si>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</si>
  <si>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</si>
  <si>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</si>
  <si>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</si>
  <si>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</si>
  <si>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</si>
  <si>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</si>
  <si>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</si>
  <si>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</si>
  <si>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</si>
  <si>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</si>
  <si>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</si>
  <si>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</si>
  <si>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</si>
  <si>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</si>
  <si>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</si>
  <si>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</si>
  <si>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</si>
  <si>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</si>
  <si>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</si>
  <si>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</si>
  <si>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</si>
  <si>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</si>
  <si>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</si>
  <si>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</si>
  <si>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</si>
  <si>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</si>
  <si>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</si>
  <si>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</si>
  <si>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</si>
  <si>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</si>
  <si>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</si>
  <si>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</si>
  <si>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</si>
  <si>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</si>
  <si>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</si>
  <si>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</si>
  <si>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</si>
  <si>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</si>
  <si>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</si>
  <si>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</si>
  <si>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</si>
  <si>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</si>
  <si>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</si>
  <si>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</si>
  <si>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</si>
  <si>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</si>
  <si>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</si>
  <si>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</si>
  <si>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</si>
  <si>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</si>
  <si>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</si>
  <si>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</si>
  <si>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</si>
  <si>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</si>
  <si>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</si>
  <si>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</si>
  <si>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</si>
  <si>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</si>
  <si>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</si>
  <si>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</si>
  <si>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</si>
  <si>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</si>
  <si>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</si>
  <si>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</si>
  <si>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</si>
  <si>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</si>
  <si>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</si>
  <si>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</si>
  <si>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</si>
  <si>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</si>
  <si>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</si>
  <si>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</si>
  <si>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</si>
  <si>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</si>
  <si>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</si>
  <si>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</si>
  <si>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</si>
  <si>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</si>
  <si>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</si>
  <si>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</si>
  <si>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</si>
  <si>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</si>
  <si>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</si>
  <si>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</si>
  <si>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</si>
  <si>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</si>
  <si>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</si>
  <si>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</si>
  <si>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</si>
  <si>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</si>
  <si>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</si>
  <si>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</si>
  <si>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</si>
  <si>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</si>
  <si>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</si>
  <si>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</si>
  <si>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</si>
  <si>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</si>
  <si>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</si>
  <si>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</si>
  <si>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</si>
  <si>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</si>
  <si>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</si>
  <si>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</si>
  <si>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</si>
  <si>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</si>
  <si>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</si>
  <si>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</si>
  <si>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</si>
  <si>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</si>
  <si>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</si>
  <si>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</si>
  <si>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</si>
  <si>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</si>
  <si>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</si>
  <si>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</si>
  <si>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</si>
  <si>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</si>
  <si>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</si>
  <si>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</si>
  <si>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</si>
  <si>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</si>
  <si>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</si>
  <si>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</si>
  <si>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</si>
  <si>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</si>
  <si>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</si>
  <si>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</si>
  <si>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</si>
  <si>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</si>
  <si>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</si>
  <si>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</si>
  <si>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</si>
  <si>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</si>
  <si>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</si>
  <si>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</si>
  <si>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</si>
  <si>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</si>
  <si>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</si>
  <si>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</si>
  <si>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</si>
  <si>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</si>
  <si>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</si>
  <si>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</si>
  <si>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</si>
  <si>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</si>
  <si>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</si>
  <si>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</si>
  <si>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</si>
  <si>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</si>
  <si>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</si>
  <si>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</si>
  <si>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</si>
  <si>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</si>
  <si>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</si>
  <si>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</si>
  <si>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</si>
  <si>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</si>
  <si>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</si>
  <si>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</si>
  <si>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</si>
  <si>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</si>
  <si>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</si>
  <si>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</si>
  <si>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</si>
  <si>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</si>
  <si>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</si>
  <si>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</si>
  <si>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</si>
  <si>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</si>
  <si>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</si>
  <si>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</si>
  <si>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</si>
  <si>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</si>
  <si>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</si>
  <si>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</si>
  <si>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</si>
  <si>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</si>
  <si>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</si>
  <si>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</si>
  <si>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</si>
  <si>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</si>
  <si>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</si>
  <si>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</si>
  <si>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</si>
  <si>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</si>
  <si>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</si>
  <si>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</si>
  <si>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</si>
  <si>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</si>
  <si>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</si>
  <si>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</si>
  <si>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</si>
  <si>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</si>
  <si>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</si>
  <si>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</si>
  <si>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</si>
  <si>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</si>
  <si>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</si>
  <si>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</si>
  <si>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</si>
  <si>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</si>
  <si>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</si>
  <si>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</si>
  <si>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</si>
  <si>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</si>
  <si>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</si>
  <si>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</si>
  <si>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</si>
  <si>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</si>
  <si>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</si>
  <si>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</si>
  <si>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</si>
  <si>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</si>
  <si>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</si>
  <si>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</si>
  <si>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</si>
  <si>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</si>
  <si>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</si>
  <si>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</si>
  <si>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</si>
  <si>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</si>
  <si>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</si>
  <si>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</si>
  <si>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</si>
  <si>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</si>
  <si>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</si>
  <si>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</si>
  <si>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</si>
  <si>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</si>
  <si>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</si>
  <si>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</si>
  <si>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</si>
  <si>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</si>
  <si>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</si>
  <si>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</si>
  <si>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</si>
  <si>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</si>
  <si>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</si>
  <si>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</si>
  <si>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</si>
  <si>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</si>
  <si>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</si>
  <si>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</si>
  <si>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</si>
  <si>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</si>
  <si>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</si>
  <si>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</si>
  <si>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</si>
  <si>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</si>
  <si>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</si>
  <si>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</si>
  <si>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</si>
  <si>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</si>
  <si>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</si>
  <si>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</si>
  <si>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</si>
  <si>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</si>
  <si>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</si>
  <si>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</si>
  <si>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</si>
  <si>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</si>
  <si>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</si>
  <si>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</si>
  <si>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</si>
  <si>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</si>
  <si>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</si>
  <si>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</si>
  <si>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</si>
  <si>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</si>
  <si>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</si>
  <si>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</si>
  <si>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</si>
  <si>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</si>
  <si>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</si>
  <si>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</si>
  <si>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</si>
  <si>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</si>
  <si>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</si>
  <si>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</si>
  <si>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</si>
  <si>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</si>
  <si>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</si>
  <si>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</si>
  <si>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</si>
  <si>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</si>
  <si>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</si>
  <si>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</si>
  <si>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</si>
  <si>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</si>
  <si>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</si>
  <si>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</si>
  <si>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</si>
  <si>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</si>
  <si>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</si>
  <si>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</si>
  <si>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</si>
  <si>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</si>
  <si>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</si>
  <si>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</si>
  <si>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</si>
  <si>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</si>
  <si>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</si>
  <si>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</si>
  <si>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</si>
  <si>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</si>
  <si>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</si>
  <si>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</si>
  <si>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</si>
  <si>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</si>
  <si>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</si>
  <si>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</si>
  <si>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</si>
  <si>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</si>
  <si>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</si>
  <si>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</si>
  <si>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</si>
  <si>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</si>
  <si>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</si>
  <si>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</si>
  <si>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</si>
  <si>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</si>
  <si>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</si>
  <si>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</si>
  <si>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</si>
  <si>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</si>
  <si>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</si>
  <si>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</si>
  <si>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</si>
  <si>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</si>
  <si>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</si>
  <si>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</si>
  <si>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</si>
  <si>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</si>
  <si>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</si>
  <si>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</si>
  <si>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</si>
  <si>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</si>
  <si>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</si>
  <si>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</si>
  <si>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</si>
  <si>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</si>
  <si>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</si>
  <si>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</si>
  <si>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</si>
  <si>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</si>
  <si>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</si>
  <si>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</si>
  <si>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</si>
  <si>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</si>
  <si>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</si>
  <si>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</si>
  <si>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</si>
  <si>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</si>
  <si>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</si>
  <si>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</si>
  <si>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</si>
  <si>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</si>
  <si>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</si>
  <si>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</si>
  <si>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</si>
  <si>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</si>
  <si>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</si>
  <si>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</si>
  <si>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</si>
  <si>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</si>
  <si>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</si>
  <si>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</si>
  <si>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</si>
  <si>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</si>
  <si>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</si>
  <si>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</si>
  <si>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</si>
  <si>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</si>
  <si>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</si>
  <si>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</si>
  <si>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</si>
  <si>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</si>
  <si>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</si>
  <si>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</si>
  <si>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</si>
  <si>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</si>
  <si>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</si>
  <si>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</si>
  <si>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</si>
  <si>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</si>
  <si>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</si>
  <si>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</si>
  <si>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</si>
  <si>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</si>
  <si>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</si>
  <si>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</si>
  <si>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</si>
  <si>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</si>
  <si>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</si>
  <si>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</si>
  <si>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</si>
  <si>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</si>
  <si>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</si>
  <si>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</si>
  <si>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</si>
  <si>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</si>
  <si>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</si>
  <si>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</si>
  <si>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</si>
  <si>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</si>
  <si>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</si>
  <si>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</si>
  <si>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</si>
  <si>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</si>
  <si>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</si>
  <si>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</si>
  <si>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</si>
  <si>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</si>
  <si>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</si>
  <si>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</si>
  <si>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</si>
  <si>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</si>
  <si>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</si>
  <si>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</si>
  <si>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</si>
  <si>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</si>
  <si>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</si>
  <si>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</si>
  <si>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</si>
  <si>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</si>
  <si>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</si>
  <si>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</si>
  <si>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</si>
  <si>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</si>
  <si>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</si>
  <si>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</si>
  <si>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</si>
  <si>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</si>
  <si>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</si>
  <si>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</si>
  <si>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</si>
  <si>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</si>
  <si>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</si>
  <si>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</si>
  <si>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</si>
  <si>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</si>
  <si>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</si>
  <si>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</si>
  <si>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</si>
  <si>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</si>
  <si>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</si>
  <si>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</si>
  <si>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</si>
  <si>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</si>
  <si>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</si>
  <si>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</si>
  <si>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</si>
  <si>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</si>
  <si>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</si>
  <si>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</si>
  <si>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</si>
  <si>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</si>
  <si>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</si>
  <si>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</si>
  <si>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</si>
  <si>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</si>
  <si>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</si>
  <si>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</si>
  <si>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</si>
  <si>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</si>
  <si>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</si>
  <si>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</si>
  <si>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</si>
  <si>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</si>
  <si>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</si>
  <si>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</si>
  <si>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</si>
  <si>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</si>
  <si>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</si>
  <si>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</si>
  <si>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</si>
  <si>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</si>
  <si>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</si>
  <si>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</si>
  <si>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</si>
  <si>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</si>
  <si>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</si>
  <si>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</si>
  <si>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</si>
  <si>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</si>
  <si>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</si>
  <si>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</si>
  <si>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</si>
  <si>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</si>
  <si>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</si>
  <si>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</si>
  <si>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</si>
  <si>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</si>
  <si>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</si>
  <si>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</si>
  <si>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</si>
  <si>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</si>
  <si>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</si>
  <si>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</si>
  <si>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</si>
  <si>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</si>
  <si>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</si>
  <si>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</si>
  <si>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</si>
  <si>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</si>
  <si>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</si>
  <si>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</si>
  <si>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</si>
  <si>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</si>
  <si>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</si>
  <si>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</si>
  <si>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</si>
  <si>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</si>
  <si>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</si>
  <si>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</si>
  <si>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</si>
  <si>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</si>
  <si>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</si>
  <si>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</si>
  <si>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</si>
  <si>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</si>
  <si>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</si>
  <si>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</si>
  <si>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</si>
  <si>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</si>
  <si>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</si>
  <si>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</si>
  <si>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</si>
  <si>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</si>
  <si>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</si>
  <si>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</si>
  <si>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</si>
  <si>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</si>
  <si>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</si>
  <si>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</si>
  <si>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</si>
  <si>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</si>
  <si>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</si>
  <si>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</si>
  <si>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</si>
  <si>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</si>
  <si>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</si>
  <si>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</si>
  <si>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</si>
  <si>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</si>
  <si>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</si>
  <si>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</si>
  <si>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</si>
  <si>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</si>
  <si>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</si>
  <si>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</si>
  <si>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</si>
  <si>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</si>
  <si>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</si>
  <si>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</si>
  <si>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</si>
  <si>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</si>
  <si>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</si>
  <si>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</si>
  <si>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</si>
  <si>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</si>
  <si>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</si>
  <si>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</si>
  <si>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</si>
  <si>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</si>
  <si>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</si>
  <si>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</si>
  <si>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</si>
  <si>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</si>
  <si>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</si>
  <si>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</si>
  <si>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</si>
  <si>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</si>
  <si>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</si>
  <si>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</si>
  <si>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</si>
  <si>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</si>
  <si>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</si>
  <si>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</si>
  <si>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</si>
  <si>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</si>
  <si>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</si>
  <si>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</si>
  <si>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</si>
  <si>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</si>
  <si>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</si>
  <si>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</si>
  <si>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</si>
  <si>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</si>
  <si>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</si>
  <si>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</si>
  <si>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</si>
  <si>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</si>
  <si>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</si>
  <si>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</si>
  <si>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</si>
  <si>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</si>
  <si>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</si>
  <si>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</si>
  <si>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</si>
  <si>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</si>
  <si>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</si>
  <si>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</si>
  <si>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</si>
  <si>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</si>
  <si>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</si>
  <si>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</si>
  <si>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</si>
  <si>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</si>
  <si>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</si>
  <si>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</si>
  <si>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</si>
  <si>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</si>
  <si>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</si>
  <si>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</si>
  <si>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</si>
  <si>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</si>
  <si>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</si>
  <si>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</si>
  <si>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</si>
  <si>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</si>
  <si>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</si>
  <si>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</si>
  <si>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</si>
  <si>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</si>
  <si>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</si>
  <si>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</si>
  <si>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</si>
  <si>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</si>
  <si>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</si>
  <si>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</si>
  <si>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</si>
  <si>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</si>
  <si>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</si>
  <si>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</si>
  <si>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</si>
  <si>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</si>
  <si>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</si>
  <si>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</si>
  <si>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</si>
  <si>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</si>
  <si>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</si>
  <si>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</si>
  <si>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</si>
  <si>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</si>
  <si>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</si>
  <si>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</si>
  <si>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</si>
  <si>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</si>
  <si>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</si>
  <si>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</si>
  <si>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</si>
  <si>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</si>
  <si>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</si>
  <si>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</si>
  <si>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</si>
  <si>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</si>
  <si>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</si>
  <si>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</si>
  <si>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</si>
  <si>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</si>
  <si>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</si>
  <si>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</si>
  <si>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</si>
  <si>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</si>
  <si>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</si>
  <si>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</si>
  <si>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</si>
  <si>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</si>
  <si>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</si>
  <si>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</si>
  <si>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</si>
  <si>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</si>
  <si>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</si>
  <si>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</si>
  <si>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</si>
  <si>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</si>
  <si>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</si>
  <si>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</si>
  <si>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</si>
  <si>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</si>
  <si>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</si>
  <si>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</si>
  <si>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</si>
  <si>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</si>
  <si>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</si>
  <si>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</si>
  <si>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</si>
  <si>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</si>
  <si>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</si>
  <si>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</si>
  <si>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</si>
  <si>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</si>
  <si>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</si>
  <si>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</si>
  <si>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</si>
  <si>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</si>
  <si>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</si>
  <si>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</si>
  <si>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</si>
  <si>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</si>
  <si>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</si>
  <si>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</si>
  <si>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</si>
  <si>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</si>
  <si>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</si>
  <si>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</si>
  <si>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</si>
  <si>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</si>
  <si>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</si>
  <si>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</si>
  <si>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</si>
  <si>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</si>
  <si>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</si>
  <si>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</si>
  <si>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</si>
  <si>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</si>
  <si>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</si>
  <si>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</si>
  <si>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</si>
  <si>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</si>
  <si>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</si>
  <si>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</si>
  <si>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</si>
  <si>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</si>
  <si>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</si>
  <si>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</si>
  <si>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</si>
  <si>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</si>
  <si>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</si>
  <si>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</si>
  <si>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</si>
  <si>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</si>
  <si>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</si>
  <si>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</si>
  <si>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</si>
  <si>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</si>
  <si>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</si>
  <si>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</si>
  <si>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</si>
  <si>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</si>
  <si>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</si>
  <si>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</si>
  <si>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</si>
  <si>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</si>
  <si>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</si>
  <si>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</si>
  <si>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</si>
  <si>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</si>
  <si>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</si>
  <si>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</si>
  <si>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</si>
  <si>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</si>
  <si>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</si>
  <si>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</si>
  <si>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</si>
  <si>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</si>
  <si>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</si>
  <si>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</si>
  <si>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</si>
  <si>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</si>
  <si>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</si>
  <si>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</si>
  <si>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</si>
  <si>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</si>
  <si>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</si>
  <si>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</si>
  <si>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</si>
  <si>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</si>
  <si>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</si>
  <si>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</si>
  <si>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</si>
  <si>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</si>
  <si>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</si>
  <si>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</si>
  <si>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</si>
  <si>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</si>
  <si>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</si>
  <si>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</si>
  <si>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</si>
  <si>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</si>
  <si>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</si>
  <si>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</si>
  <si>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</si>
  <si>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</si>
  <si>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</si>
  <si>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</si>
  <si>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</si>
  <si>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</si>
  <si>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</si>
  <si>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</si>
  <si>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</si>
  <si>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</si>
  <si>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</si>
  <si>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</si>
  <si>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</si>
  <si>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</si>
  <si>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</si>
  <si>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</si>
  <si>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</si>
  <si>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</si>
  <si>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</si>
  <si>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</si>
  <si>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</si>
  <si>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</si>
  <si>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</si>
  <si>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</si>
  <si>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</si>
  <si>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</si>
  <si>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</si>
  <si>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</si>
  <si>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</si>
  <si>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</si>
  <si>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</si>
  <si>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</si>
  <si>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</si>
  <si>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</si>
  <si>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</si>
  <si>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</si>
  <si>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</si>
  <si>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</si>
  <si>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</si>
  <si>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</si>
  <si>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</si>
  <si>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</si>
  <si>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</si>
  <si>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</si>
  <si>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</si>
  <si>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</si>
  <si>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</si>
  <si>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</si>
  <si>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</si>
  <si>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</si>
  <si>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</si>
  <si>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</si>
  <si>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</si>
  <si>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</si>
  <si>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</si>
  <si>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</si>
  <si>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</si>
  <si>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</si>
  <si>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</si>
  <si>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</si>
  <si>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</si>
  <si>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</si>
  <si>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</si>
  <si>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</si>
  <si>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</si>
  <si>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</si>
  <si>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</si>
  <si>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</si>
  <si>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</si>
  <si>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</si>
  <si>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</si>
  <si>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</si>
  <si>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</si>
  <si>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</si>
  <si>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</si>
  <si>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</si>
  <si>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</si>
  <si>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</si>
  <si>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</si>
  <si>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</si>
  <si>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</si>
  <si>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</si>
  <si>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</si>
  <si>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</si>
  <si>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</si>
  <si>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</si>
  <si>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</si>
  <si>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</si>
  <si>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</si>
  <si>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</si>
  <si>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</si>
  <si>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</si>
  <si>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</si>
  <si>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</si>
  <si>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</si>
  <si>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</si>
  <si>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</si>
  <si>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</si>
  <si>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</si>
  <si>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</si>
  <si>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</si>
  <si>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</si>
  <si>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</si>
  <si>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</si>
  <si>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</si>
  <si>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</si>
  <si>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</si>
  <si>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</si>
  <si>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</si>
  <si>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</si>
  <si>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</si>
  <si>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</si>
  <si>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</si>
  <si>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</si>
  <si>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</si>
  <si>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</si>
  <si>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</si>
  <si>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</si>
  <si>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</si>
  <si>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</si>
  <si>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</si>
  <si>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</si>
  <si>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</si>
  <si>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</si>
  <si>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</si>
  <si>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</si>
  <si>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</si>
  <si>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</si>
  <si>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</si>
  <si>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</si>
  <si>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</si>
  <si>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</si>
  <si>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</si>
  <si>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</si>
  <si>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</si>
  <si>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</si>
  <si>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</si>
  <si>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</si>
  <si>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</si>
  <si>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</si>
  <si>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</si>
  <si>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</si>
  <si>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</si>
  <si>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</si>
  <si>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</si>
  <si>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</si>
  <si>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</si>
  <si>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</si>
  <si>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</si>
  <si>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</si>
  <si>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</si>
  <si>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</si>
  <si>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</si>
  <si>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</si>
  <si>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</si>
  <si>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</si>
  <si>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</si>
  <si>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</si>
  <si>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</si>
  <si>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</si>
  <si>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</si>
  <si>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</si>
  <si>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</si>
  <si>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</si>
  <si>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</si>
  <si>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</si>
  <si>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</si>
  <si>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</si>
  <si>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</si>
  <si>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</si>
  <si>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</si>
  <si>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</si>
  <si>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</si>
  <si>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</si>
  <si>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</si>
  <si>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</si>
  <si>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</si>
  <si>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</si>
  <si>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</si>
  <si>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</si>
  <si>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</si>
  <si>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</si>
  <si>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</si>
  <si>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</si>
  <si>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</si>
  <si>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</si>
  <si>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</si>
  <si>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</si>
  <si>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</si>
  <si>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</si>
  <si>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</si>
  <si>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</si>
  <si>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</si>
  <si>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</si>
  <si>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</si>
  <si>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</si>
  <si>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</si>
  <si>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</si>
  <si>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</si>
  <si>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</si>
  <si>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</si>
  <si>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</si>
  <si>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</si>
  <si>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</si>
  <si>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</si>
  <si>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</si>
  <si>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</si>
  <si>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</si>
  <si>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</si>
  <si>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</si>
  <si>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</si>
  <si>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</si>
  <si>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</si>
  <si>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</si>
  <si>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</si>
  <si>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</si>
  <si>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</si>
  <si>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</si>
  <si>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</si>
  <si>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</si>
  <si>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</si>
  <si>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</si>
  <si>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</si>
  <si>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</si>
  <si>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</si>
  <si>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</si>
  <si>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</si>
  <si>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</si>
  <si>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</si>
  <si>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</si>
  <si>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</si>
  <si>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</si>
  <si>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</si>
  <si>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</si>
  <si>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</si>
  <si>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</si>
  <si>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</si>
  <si>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</si>
  <si>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</si>
  <si>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</si>
  <si>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</si>
  <si>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</si>
  <si>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</si>
  <si>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</si>
  <si>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</si>
  <si>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</si>
  <si>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</si>
  <si>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</si>
  <si>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</si>
  <si>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</si>
  <si>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</si>
  <si>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</si>
  <si>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</si>
  <si>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</si>
  <si>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</si>
  <si>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</si>
  <si>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</si>
  <si>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</si>
  <si>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</si>
  <si>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</si>
  <si>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</si>
  <si>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</si>
  <si>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</si>
  <si>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</si>
  <si>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</si>
  <si>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</si>
  <si>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</si>
  <si>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</si>
  <si>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</si>
  <si>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</si>
  <si>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</si>
  <si>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</si>
  <si>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</si>
  <si>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</si>
  <si>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</si>
  <si>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</si>
  <si>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</si>
  <si>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</si>
  <si>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</si>
  <si>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</si>
  <si>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</si>
  <si>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</si>
  <si>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</si>
  <si>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</si>
  <si>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</si>
  <si>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</si>
  <si>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</si>
  <si>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</si>
  <si>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</si>
  <si>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</si>
  <si>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</si>
  <si>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</si>
  <si>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</si>
  <si>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</si>
  <si>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</si>
  <si>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</si>
  <si>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</si>
  <si>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</si>
  <si>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</si>
  <si>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</si>
  <si>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</si>
  <si>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</si>
  <si>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</si>
  <si>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</si>
  <si>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</si>
  <si>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</si>
  <si>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</si>
  <si>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</si>
  <si>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</si>
  <si>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</si>
  <si>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</si>
  <si>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</si>
  <si>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</si>
  <si>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</si>
  <si>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</si>
  <si>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</si>
  <si>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</si>
  <si>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</si>
  <si>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</si>
  <si>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</si>
  <si>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</si>
  <si>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</si>
  <si>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</si>
  <si>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</si>
  <si>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</si>
  <si>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</si>
  <si>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</si>
  <si>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</si>
  <si>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</si>
  <si>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</si>
  <si>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</si>
  <si>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</si>
  <si>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</si>
  <si>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</si>
  <si>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</si>
  <si>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</si>
  <si>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</si>
  <si>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</si>
  <si>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</si>
  <si>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</si>
  <si>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</si>
  <si>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</si>
  <si>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</si>
  <si>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</si>
  <si>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</si>
  <si>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</si>
  <si>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</si>
  <si>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</si>
  <si>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</si>
  <si>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</si>
  <si>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</si>
  <si>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</si>
  <si>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</si>
  <si>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</si>
  <si>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</si>
  <si>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</si>
  <si>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</si>
  <si>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</si>
  <si>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</si>
  <si>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</si>
  <si>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</si>
  <si>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</si>
  <si>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</si>
  <si>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</si>
  <si>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</si>
  <si>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</si>
  <si>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</si>
  <si>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</si>
  <si>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</si>
  <si>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</si>
  <si>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</si>
  <si>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</si>
  <si>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</si>
  <si>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</si>
  <si>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</si>
  <si>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</si>
  <si>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</si>
  <si>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</si>
  <si>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</si>
  <si>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</si>
  <si>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</si>
  <si>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</si>
  <si>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</si>
  <si>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</si>
  <si>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</si>
  <si>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</si>
  <si>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</si>
  <si>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</si>
  <si>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</si>
  <si>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</si>
  <si>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</si>
  <si>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</si>
  <si>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</si>
  <si>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</si>
  <si>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</si>
  <si>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</si>
  <si>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</si>
  <si>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</si>
  <si>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</si>
  <si>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</si>
  <si>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</si>
  <si>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</si>
  <si>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</si>
  <si>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</si>
  <si>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</si>
  <si>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</si>
  <si>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</si>
  <si>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</si>
  <si>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</si>
  <si>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</si>
  <si>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</si>
  <si>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</si>
  <si>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</si>
  <si>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</si>
  <si>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</si>
  <si>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</si>
  <si>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</si>
  <si>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</si>
  <si>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</si>
  <si>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</si>
  <si>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</si>
  <si>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</si>
  <si>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</si>
  <si>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</si>
  <si>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</si>
  <si>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</si>
  <si>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</si>
  <si>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</si>
  <si>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</si>
  <si>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</si>
  <si>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</si>
  <si>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</si>
  <si>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</si>
  <si>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</si>
  <si>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</si>
  <si>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</si>
  <si>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</si>
  <si>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</si>
  <si>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</si>
  <si>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</si>
  <si>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</si>
  <si>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</si>
  <si>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</si>
  <si>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</si>
  <si>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</si>
  <si>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</si>
  <si>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</si>
  <si>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</si>
  <si>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</si>
  <si>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</si>
  <si>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</si>
  <si>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</si>
  <si>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</si>
  <si>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</si>
  <si>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</si>
  <si>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</si>
  <si>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</si>
  <si>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</si>
  <si>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</si>
  <si>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</si>
  <si>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</si>
  <si>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</si>
  <si>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</si>
  <si>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</si>
  <si>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</si>
  <si>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</si>
  <si>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</si>
  <si>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</si>
  <si>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</si>
  <si>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</si>
  <si>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</si>
  <si>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</si>
  <si>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</si>
  <si>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</si>
  <si>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</si>
  <si>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</si>
  <si>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</si>
  <si>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</si>
  <si>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</si>
  <si>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</si>
  <si>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</si>
  <si>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</si>
  <si>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</si>
  <si>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</si>
  <si>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</si>
  <si>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</si>
  <si>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</si>
  <si>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</si>
  <si>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</si>
  <si>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</si>
  <si>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</si>
  <si>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</si>
  <si>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</si>
  <si>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</si>
  <si>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</si>
  <si>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</si>
  <si>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</si>
  <si>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</si>
  <si>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</si>
  <si>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</si>
  <si>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</si>
  <si>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</si>
  <si>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</si>
  <si>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</si>
  <si>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</si>
  <si>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</si>
  <si>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</si>
  <si>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</si>
  <si>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</si>
  <si>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</si>
  <si>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</si>
  <si>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</si>
  <si>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</si>
  <si>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</si>
  <si>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</si>
  <si>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</si>
  <si>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</si>
  <si>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</si>
  <si>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</si>
  <si>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</si>
  <si>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</si>
  <si>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</si>
  <si>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</si>
  <si>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</si>
  <si>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</si>
  <si>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</si>
  <si>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</si>
  <si>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</si>
  <si>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</si>
  <si>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</si>
  <si>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</si>
  <si>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</si>
  <si>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</si>
  <si>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</si>
  <si>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</si>
  <si>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</si>
  <si>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</si>
  <si>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</si>
  <si>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</si>
  <si>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</si>
  <si>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</si>
  <si>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</si>
  <si>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</si>
  <si>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</si>
  <si>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</si>
  <si>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</si>
  <si>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</si>
  <si>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</si>
  <si>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</si>
  <si>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</si>
  <si>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</si>
  <si>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</si>
  <si>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</si>
  <si>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</si>
  <si>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</si>
  <si>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</si>
  <si>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</si>
  <si>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</si>
  <si>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</si>
  <si>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</si>
  <si>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</si>
  <si>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</si>
  <si>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</si>
  <si>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</si>
  <si>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</si>
  <si>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</si>
  <si>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</si>
  <si>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</si>
  <si>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</si>
  <si>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</si>
  <si>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</si>
  <si>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</si>
  <si>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</si>
  <si>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</si>
  <si>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</si>
  <si>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</si>
  <si>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</si>
  <si>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</si>
  <si>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</si>
  <si>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</si>
  <si>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</si>
  <si>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</si>
  <si>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</si>
  <si>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</si>
  <si>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</si>
  <si>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</si>
  <si>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</si>
  <si>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</si>
  <si>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</si>
  <si>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</si>
  <si>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</si>
  <si>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</si>
  <si>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</si>
  <si>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</si>
  <si>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</si>
  <si>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</si>
  <si>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</si>
  <si>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</si>
  <si>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</si>
  <si>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</si>
  <si>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</si>
  <si>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</si>
  <si>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</si>
  <si>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</si>
  <si>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</si>
  <si>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</si>
  <si>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</si>
  <si>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</si>
  <si>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</si>
  <si>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</si>
  <si>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</si>
  <si>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</si>
  <si>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</si>
  <si>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</si>
  <si>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</si>
  <si>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</si>
  <si>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</si>
  <si>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</si>
  <si>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</si>
  <si>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</si>
  <si>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</si>
  <si>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</si>
  <si>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</si>
  <si>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</si>
  <si>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</si>
  <si>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</si>
  <si>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</si>
  <si>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</si>
  <si>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</si>
  <si>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</si>
  <si>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</si>
  <si>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</si>
  <si>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</si>
  <si>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</si>
  <si>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</si>
  <si>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</si>
  <si>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</si>
  <si>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</si>
  <si>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</si>
  <si>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</si>
  <si>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</si>
  <si>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</si>
  <si>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</si>
  <si>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</si>
  <si>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</si>
  <si>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</si>
  <si>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</si>
  <si>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</si>
  <si>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</si>
  <si>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</si>
  <si>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</si>
  <si>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</si>
  <si>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</si>
  <si>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</si>
  <si>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</si>
  <si>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</si>
  <si>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</si>
  <si>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</si>
  <si>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</si>
  <si>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</si>
  <si>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</si>
  <si>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</si>
  <si>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</si>
  <si>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</si>
  <si>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</si>
  <si>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</si>
  <si>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</si>
  <si>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</si>
  <si>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</si>
  <si>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</si>
  <si>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</si>
  <si>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</si>
  <si>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</si>
  <si>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</si>
  <si>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</si>
  <si>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</si>
  <si>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</si>
  <si>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</si>
  <si>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</si>
  <si>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</si>
  <si>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</si>
  <si>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</si>
  <si>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</si>
  <si>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</si>
  <si>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</si>
  <si>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</si>
  <si>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</si>
  <si>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</si>
  <si>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</si>
  <si>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</si>
  <si>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</si>
  <si>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</si>
  <si>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</si>
  <si>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</si>
  <si>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</si>
  <si>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</si>
  <si>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</si>
  <si>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</si>
  <si>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</si>
  <si>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</si>
  <si>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</si>
  <si>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</si>
  <si>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</si>
  <si>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</si>
  <si>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</si>
  <si>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</si>
  <si>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</si>
  <si>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</si>
  <si>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</si>
  <si>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</si>
  <si>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</si>
  <si>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</si>
  <si>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</si>
  <si>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</si>
  <si>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</si>
  <si>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</si>
  <si>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</si>
  <si>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</si>
  <si>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</si>
  <si>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</si>
  <si>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</si>
  <si>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</si>
  <si>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</si>
  <si>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</si>
  <si>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</si>
  <si>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</si>
  <si>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</si>
  <si>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</si>
  <si>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</si>
  <si>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</si>
  <si>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</si>
  <si>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</si>
  <si>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</si>
  <si>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</si>
  <si>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</si>
  <si>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</si>
  <si>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</si>
  <si>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</si>
  <si>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</si>
  <si>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</si>
  <si>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</si>
  <si>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</si>
  <si>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</si>
  <si>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</si>
  <si>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</si>
  <si>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</si>
  <si>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</si>
  <si>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</si>
  <si>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</si>
  <si>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</si>
  <si>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</si>
  <si>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</si>
  <si>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</si>
  <si>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</si>
  <si>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</si>
  <si>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</si>
  <si>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</si>
  <si>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</si>
  <si>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</si>
  <si>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</si>
  <si>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</si>
  <si>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</si>
  <si>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</si>
  <si>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</si>
  <si>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</si>
  <si>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</si>
  <si>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</si>
  <si>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</si>
  <si>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</si>
  <si>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</si>
  <si>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</si>
  <si>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</si>
  <si>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</si>
  <si>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</si>
  <si>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</si>
  <si>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</si>
  <si>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</si>
  <si>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</si>
  <si>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</si>
  <si>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</si>
  <si>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</si>
  <si>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</si>
  <si>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</si>
  <si>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</si>
  <si>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</si>
  <si>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</si>
  <si>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</si>
  <si>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</si>
  <si>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</si>
  <si>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</si>
  <si>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</si>
  <si>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</si>
  <si>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</si>
  <si>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</si>
  <si>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</si>
  <si>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</si>
  <si>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</si>
  <si>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</si>
  <si>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</si>
  <si>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</si>
  <si>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</si>
  <si>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</si>
  <si>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</si>
  <si>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</si>
  <si>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</si>
  <si>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</si>
  <si>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</si>
  <si>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</si>
  <si>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</si>
  <si>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</si>
  <si>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</si>
  <si>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</si>
  <si>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</si>
  <si>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</si>
  <si>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</si>
  <si>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</si>
  <si>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</si>
  <si>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</si>
  <si>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</si>
  <si>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</si>
  <si>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</si>
  <si>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</si>
  <si>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</si>
  <si>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</si>
  <si>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</si>
  <si>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</si>
  <si>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</si>
  <si>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</si>
  <si>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</si>
  <si>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</si>
  <si>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</si>
  <si>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</si>
  <si>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</si>
  <si>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</si>
  <si>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</si>
  <si>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</si>
  <si>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</si>
  <si>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</si>
  <si>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</si>
  <si>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</si>
  <si>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</si>
  <si>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</si>
  <si>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</si>
  <si>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</si>
  <si>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</si>
  <si>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</si>
  <si>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</si>
  <si>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</si>
  <si>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</si>
  <si>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</si>
  <si>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</si>
  <si>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</si>
  <si>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</si>
  <si>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</si>
  <si>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</si>
  <si>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</si>
  <si>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</si>
  <si>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</si>
  <si>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</si>
  <si>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</si>
  <si>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</si>
  <si>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</si>
  <si>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</si>
  <si>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</si>
  <si>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</si>
  <si>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</si>
  <si>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</si>
  <si>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</si>
  <si>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</si>
  <si>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</si>
  <si>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</si>
  <si>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</si>
  <si>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</si>
  <si>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</si>
  <si>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</si>
  <si>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</si>
  <si>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</si>
  <si>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</si>
  <si>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</si>
  <si>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</si>
  <si>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</si>
  <si>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</si>
  <si>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</si>
  <si>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</si>
  <si>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</si>
  <si>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</si>
  <si>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</si>
  <si>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</si>
  <si>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</si>
  <si>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</si>
  <si>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</si>
  <si>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</si>
  <si>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</si>
  <si>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</si>
  <si>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</si>
  <si>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</si>
  <si>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</si>
  <si>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</si>
  <si>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</si>
  <si>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</si>
  <si>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</si>
  <si>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</si>
  <si>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</si>
  <si>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</si>
  <si>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</si>
  <si>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</si>
  <si>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</si>
  <si>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</si>
  <si>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</si>
  <si>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</si>
  <si>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</si>
  <si>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</si>
  <si>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</si>
  <si>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</si>
  <si>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</si>
  <si>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</si>
  <si>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</si>
  <si>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</si>
  <si>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</si>
  <si>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</si>
  <si>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</si>
  <si>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</si>
  <si>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</si>
  <si>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</si>
  <si>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</si>
  <si>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</si>
  <si>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</si>
  <si>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</si>
  <si>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</si>
  <si>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</si>
  <si>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</si>
  <si>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</si>
  <si>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</si>
  <si>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</si>
  <si>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</si>
  <si>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</si>
  <si>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</si>
  <si>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</si>
  <si>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</si>
  <si>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</si>
  <si>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</si>
  <si>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</si>
  <si>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</si>
  <si>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</si>
  <si>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</si>
  <si>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</si>
  <si>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</si>
  <si>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</si>
  <si>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</si>
  <si>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</si>
  <si>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</si>
  <si>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</si>
  <si>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</si>
  <si>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</si>
  <si>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</si>
  <si>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</si>
  <si>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</si>
  <si>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</si>
  <si>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</si>
  <si>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</si>
  <si>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</si>
  <si>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</si>
  <si>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</si>
  <si>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</si>
  <si>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</si>
  <si>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</si>
  <si>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</si>
  <si>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</si>
  <si>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</si>
  <si>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</si>
  <si>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</si>
  <si>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</si>
  <si>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</si>
  <si>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</si>
  <si>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</si>
  <si>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</si>
  <si>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</si>
  <si>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</si>
  <si>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</si>
  <si>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</si>
  <si>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</si>
  <si>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</si>
  <si>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</si>
  <si>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</si>
  <si>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</si>
  <si>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</si>
  <si>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</si>
  <si>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</si>
  <si>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</si>
  <si>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</si>
  <si>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</si>
  <si>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</si>
  <si>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</si>
  <si>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</si>
  <si>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</si>
  <si>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</si>
  <si>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</si>
  <si>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</si>
  <si>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</si>
  <si>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</si>
  <si>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</si>
  <si>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</si>
  <si>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</si>
  <si>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</si>
  <si>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</si>
  <si>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</si>
  <si>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</si>
  <si>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</si>
  <si>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</si>
  <si>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</si>
  <si>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</si>
  <si>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</si>
  <si>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</si>
  <si>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</si>
  <si>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</si>
  <si>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</si>
  <si>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</si>
  <si>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</si>
  <si>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</si>
  <si>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</si>
  <si>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</si>
  <si>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</si>
  <si>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</si>
  <si>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</si>
  <si>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</si>
  <si>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</si>
  <si>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</si>
  <si>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</si>
  <si>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</si>
  <si>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</si>
  <si>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</si>
  <si>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</si>
  <si>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</si>
  <si>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</si>
  <si>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</si>
  <si>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</si>
  <si>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</si>
  <si>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</si>
  <si>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</si>
  <si>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</si>
  <si>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</si>
  <si>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</si>
  <si>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</si>
  <si>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</si>
  <si>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</si>
  <si>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</si>
  <si>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</si>
  <si>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</si>
  <si>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</si>
  <si>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</si>
  <si>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</si>
  <si>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</si>
  <si>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</si>
  <si>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</si>
  <si>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</si>
  <si>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</si>
  <si>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</si>
  <si>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</si>
  <si>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</si>
  <si>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</si>
  <si>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</si>
  <si>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</si>
  <si>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</si>
  <si>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</si>
  <si>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</si>
  <si>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</si>
  <si>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</si>
  <si>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</si>
  <si>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</si>
  <si>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</si>
  <si>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</si>
  <si>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</si>
  <si>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</si>
  <si>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</si>
  <si>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</si>
  <si>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</si>
  <si>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</si>
  <si>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</si>
  <si>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</si>
  <si>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</si>
  <si>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</si>
  <si>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</si>
  <si>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</si>
  <si>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</si>
  <si>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</si>
  <si>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</si>
  <si>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</si>
  <si>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</si>
  <si>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</si>
  <si>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</si>
  <si>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</si>
  <si>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</si>
  <si>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</si>
  <si>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</si>
  <si>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</si>
  <si>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</si>
  <si>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</si>
  <si>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</si>
  <si>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</si>
  <si>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</si>
  <si>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</si>
  <si>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</si>
  <si>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</si>
  <si>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</si>
  <si>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</si>
  <si>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</si>
  <si>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</si>
  <si>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</si>
  <si>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</si>
  <si>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</si>
  <si>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</si>
  <si>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</si>
  <si>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</si>
  <si>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</si>
  <si>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</si>
  <si>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</si>
  <si>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</si>
  <si>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</si>
  <si>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</si>
  <si>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</si>
  <si>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</si>
  <si>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</si>
  <si>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</si>
  <si>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</si>
  <si>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</si>
  <si>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</si>
  <si>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</si>
  <si>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</si>
  <si>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</si>
  <si>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</si>
  <si>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</si>
  <si>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</si>
  <si>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</si>
  <si>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</si>
  <si>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</si>
  <si>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</si>
  <si>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</si>
  <si>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</si>
  <si>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</si>
  <si>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</si>
  <si>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</si>
  <si>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</si>
  <si>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</si>
  <si>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</si>
  <si>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</si>
  <si>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</si>
  <si>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</si>
  <si>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</si>
  <si>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</si>
  <si>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</si>
  <si>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</si>
  <si>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</si>
  <si>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</si>
  <si>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پول نقد حاصل از فروش 23824 تا وتوسم</t>
  </si>
  <si>
    <t>قیمت خرید بیضرر سکه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</si>
  <si>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</si>
  <si>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</si>
  <si>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</si>
  <si>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</si>
  <si>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</si>
  <si>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</si>
  <si>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</si>
  <si>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</si>
  <si>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</si>
  <si>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</si>
  <si>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</si>
  <si>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</si>
  <si>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</si>
  <si>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</si>
  <si>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</si>
  <si>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</si>
  <si>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کگهر 2082 تا 680</t>
  </si>
  <si>
    <t>کگهر</t>
  </si>
  <si>
    <t>ضرر فروش 87152 تا وصنعت 26/8</t>
  </si>
  <si>
    <t>زاگرس 537 تا 5560.3</t>
  </si>
  <si>
    <t>وبانک 15274 تا 292.6</t>
  </si>
  <si>
    <t>کگهر 2081 تا 680</t>
  </si>
  <si>
    <t>شاراک</t>
  </si>
  <si>
    <t>شاراک 10431 تا 4418</t>
  </si>
  <si>
    <t>طلب از بورس سارا 26/8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</si>
</sst>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opLeftCell="A49" workbookViewId="0">
      <selection activeCell="E89" sqref="E89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4353</v>
      </c>
      <c r="B4" s="18">
        <v>-3200000</v>
      </c>
      <c r="C4" s="18">
        <v>0</v>
      </c>
      <c r="D4" s="113">
        <f t="shared" si="0"/>
        <v>-3200000</v>
      </c>
      <c r="E4" s="99" t="s">
        <v>4367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4353</v>
      </c>
      <c r="B5" s="18">
        <v>2400000</v>
      </c>
      <c r="C5" s="18">
        <v>0</v>
      </c>
      <c r="D5" s="113">
        <f t="shared" si="0"/>
        <v>2400000</v>
      </c>
      <c r="E5" s="20" t="s">
        <v>4370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4378</v>
      </c>
      <c r="B6" s="18">
        <v>-2000700</v>
      </c>
      <c r="C6" s="18">
        <v>0</v>
      </c>
      <c r="D6" s="113">
        <f t="shared" si="0"/>
        <v>-2000700</v>
      </c>
      <c r="E6" s="19" t="s">
        <v>4379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4378</v>
      </c>
      <c r="B7" s="18">
        <v>-200000</v>
      </c>
      <c r="C7" s="18">
        <v>0</v>
      </c>
      <c r="D7" s="113">
        <f t="shared" si="0"/>
        <v>-200000</v>
      </c>
      <c r="E7" s="19" t="s">
        <v>4380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4378</v>
      </c>
      <c r="B8" s="18">
        <v>-1900000</v>
      </c>
      <c r="C8" s="18">
        <v>0</v>
      </c>
      <c r="D8" s="113">
        <f t="shared" si="0"/>
        <v>-1900000</v>
      </c>
      <c r="E8" s="19" t="s">
        <v>4381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4385</v>
      </c>
      <c r="B9" s="18">
        <v>-50000</v>
      </c>
      <c r="C9" s="18">
        <v>0</v>
      </c>
      <c r="D9" s="113">
        <f t="shared" si="0"/>
        <v>-50000</v>
      </c>
      <c r="E9" s="21" t="s">
        <v>4386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4399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4399</v>
      </c>
      <c r="B11" s="18">
        <v>-3000900</v>
      </c>
      <c r="C11" s="18">
        <v>0</v>
      </c>
      <c r="D11" s="113">
        <f t="shared" si="0"/>
        <v>-3000900</v>
      </c>
      <c r="E11" s="19" t="s">
        <v>4408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4400</v>
      </c>
      <c r="B12" s="18">
        <v>-3000900</v>
      </c>
      <c r="C12" s="18">
        <v>0</v>
      </c>
      <c r="D12" s="113">
        <f t="shared" si="0"/>
        <v>-3000900</v>
      </c>
      <c r="E12" s="20" t="s">
        <v>4408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4400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4423</v>
      </c>
      <c r="B14" s="18">
        <v>-138360</v>
      </c>
      <c r="C14" s="18">
        <v>0</v>
      </c>
      <c r="D14" s="113">
        <f t="shared" si="0"/>
        <v>-138360</v>
      </c>
      <c r="E14" s="20" t="s">
        <v>4424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4426</v>
      </c>
      <c r="B15" s="18">
        <v>-3000900</v>
      </c>
      <c r="C15" s="18">
        <v>0</v>
      </c>
      <c r="D15" s="117">
        <f t="shared" si="0"/>
        <v>-3000900</v>
      </c>
      <c r="E15" s="20" t="s">
        <v>4408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4433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4454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4465</v>
      </c>
      <c r="B18" s="18">
        <v>-4098523</v>
      </c>
      <c r="C18" s="18">
        <v>0</v>
      </c>
      <c r="D18" s="113">
        <f t="shared" si="0"/>
        <v>-4098523</v>
      </c>
      <c r="E18" s="20" t="s">
        <v>4464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4465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4465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4461</v>
      </c>
      <c r="B21" s="18">
        <v>-7500</v>
      </c>
      <c r="C21" s="18">
        <v>0</v>
      </c>
      <c r="D21" s="113">
        <f t="shared" si="0"/>
        <v>-7500</v>
      </c>
      <c r="E21" s="19" t="s">
        <v>4462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8130</v>
      </c>
      <c r="C27" s="113">
        <f>SUM(C2:C26)</f>
        <v>7968789</v>
      </c>
      <c r="D27" s="113">
        <f>SUM(D2:D26)</f>
        <v>-7960659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29068900</v>
      </c>
      <c r="H28" s="18">
        <f>SUM(H2:H26)</f>
        <v>239063670</v>
      </c>
      <c r="I28" s="18">
        <f>SUM(I2:I26)</f>
        <v>-209994770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4934.4213919343356</v>
      </c>
      <c r="I33" s="18">
        <f>G33*I28/G28</f>
        <v>-4334.4213919343356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4329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4338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4339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4348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4349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4358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4366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4371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4387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4388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4396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4406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4429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4435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4436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4437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4438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4440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4438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4442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4444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4445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4446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4447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4448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4451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4455</v>
      </c>
    </row>
    <row r="82" spans="4:5">
      <c r="D82" s="114">
        <v>-142143</v>
      </c>
      <c r="E82" s="54" t="s">
        <v>4459</v>
      </c>
    </row>
    <row r="83" spans="4:5">
      <c r="D83" s="114">
        <v>-128352</v>
      </c>
      <c r="E83" s="54" t="s">
        <v>4458</v>
      </c>
    </row>
    <row r="84" spans="4:5">
      <c r="D84" s="114">
        <v>-6035000</v>
      </c>
      <c r="E84" s="54" t="s">
        <v>4468</v>
      </c>
    </row>
    <row r="85" spans="4:5">
      <c r="D85" s="114">
        <v>-55957</v>
      </c>
      <c r="E85" s="54" t="s">
        <v>4467</v>
      </c>
    </row>
    <row r="86" spans="4:5">
      <c r="D86" s="114">
        <v>7500</v>
      </c>
      <c r="E86" s="54" t="s">
        <v>4466</v>
      </c>
    </row>
    <row r="87" spans="4:5">
      <c r="D87" s="114">
        <v>1700000</v>
      </c>
      <c r="E87" s="54" t="s">
        <v>4469</v>
      </c>
    </row>
    <row r="88" spans="4:5">
      <c r="D88" s="114">
        <v>129648</v>
      </c>
      <c r="E88" s="54" t="s">
        <v>4472</v>
      </c>
    </row>
    <row r="89" spans="4:5">
      <c r="D89" s="114"/>
      <c r="E89" s="54" t="s">
        <v>25</v>
      </c>
    </row>
    <row r="90" spans="4:5">
      <c r="D90" s="96"/>
      <c r="E90" s="54" t="s">
        <v>25</v>
      </c>
    </row>
    <row r="91" spans="4:5">
      <c r="D91" s="114">
        <f>SUM(D33:D90)</f>
        <v>-55472418</v>
      </c>
      <c r="E91" s="96" t="s">
        <v>6</v>
      </c>
    </row>
    <row r="92" spans="4:5">
      <c r="D92" s="114"/>
      <c r="E92" s="41"/>
    </row>
    <row r="93" spans="4:5">
      <c r="D93" s="96"/>
      <c r="E93" s="96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952</v>
      </c>
      <c r="H2" s="36">
        <f>IF(B2&gt;0,1,0)</f>
        <v>1</v>
      </c>
      <c r="I2" s="11">
        <f>B2*(G2-H2)</f>
        <v>15881700</v>
      </c>
      <c r="J2" s="53">
        <f>C2*(G2-H2)</f>
        <v>15881700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951</v>
      </c>
      <c r="H3" s="36">
        <f t="shared" ref="H3:H66" si="2">IF(B3&gt;0,1,0)</f>
        <v>1</v>
      </c>
      <c r="I3" s="11">
        <f t="shared" ref="I3:I66" si="3">B3*(G3-H3)</f>
        <v>18905000000</v>
      </c>
      <c r="J3" s="53">
        <f t="shared" ref="J3:J66" si="4">C3*(G3-H3)</f>
        <v>10817650000</v>
      </c>
      <c r="K3" s="53">
        <f t="shared" ref="K3:K66" si="5">D3*(G3-H3)</f>
        <v>8087350000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951</v>
      </c>
      <c r="H4" s="36">
        <f t="shared" si="2"/>
        <v>0</v>
      </c>
      <c r="I4" s="11">
        <f t="shared" si="3"/>
        <v>0</v>
      </c>
      <c r="J4" s="53">
        <f t="shared" si="4"/>
        <v>8083500</v>
      </c>
      <c r="K4" s="53">
        <f t="shared" si="5"/>
        <v>-8083500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949</v>
      </c>
      <c r="H5" s="36">
        <f t="shared" si="2"/>
        <v>1</v>
      </c>
      <c r="I5" s="11">
        <f t="shared" si="3"/>
        <v>1896000000</v>
      </c>
      <c r="J5" s="53">
        <f t="shared" si="4"/>
        <v>0</v>
      </c>
      <c r="K5" s="53">
        <f t="shared" si="5"/>
        <v>1896000000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942</v>
      </c>
      <c r="H6" s="36">
        <f t="shared" si="2"/>
        <v>0</v>
      </c>
      <c r="I6" s="11">
        <f t="shared" si="3"/>
        <v>-4710000</v>
      </c>
      <c r="J6" s="53">
        <f t="shared" si="4"/>
        <v>0</v>
      </c>
      <c r="K6" s="53">
        <f t="shared" si="5"/>
        <v>-4710000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938</v>
      </c>
      <c r="H7" s="36">
        <f t="shared" si="2"/>
        <v>0</v>
      </c>
      <c r="I7" s="11">
        <f t="shared" si="3"/>
        <v>-1126069000</v>
      </c>
      <c r="J7" s="53">
        <f t="shared" si="4"/>
        <v>0</v>
      </c>
      <c r="K7" s="53">
        <f t="shared" si="5"/>
        <v>-1126069000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937</v>
      </c>
      <c r="H8" s="36">
        <f t="shared" si="2"/>
        <v>0</v>
      </c>
      <c r="I8" s="11">
        <f t="shared" si="3"/>
        <v>-187400000</v>
      </c>
      <c r="J8" s="53">
        <f t="shared" si="4"/>
        <v>0</v>
      </c>
      <c r="K8" s="53">
        <f t="shared" si="5"/>
        <v>-187400000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935</v>
      </c>
      <c r="H9" s="36">
        <f t="shared" si="2"/>
        <v>0</v>
      </c>
      <c r="I9" s="11">
        <f t="shared" si="3"/>
        <v>-659642500</v>
      </c>
      <c r="J9" s="53">
        <f t="shared" si="4"/>
        <v>0</v>
      </c>
      <c r="K9" s="53">
        <f t="shared" si="5"/>
        <v>-659642500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926</v>
      </c>
      <c r="H10" s="36">
        <f t="shared" si="2"/>
        <v>0</v>
      </c>
      <c r="I10" s="11">
        <f t="shared" si="3"/>
        <v>-185200000</v>
      </c>
      <c r="J10" s="53">
        <f t="shared" si="4"/>
        <v>0</v>
      </c>
      <c r="K10" s="53">
        <f t="shared" si="5"/>
        <v>-185200000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926</v>
      </c>
      <c r="H11" s="36">
        <f t="shared" si="2"/>
        <v>1</v>
      </c>
      <c r="I11" s="11">
        <f t="shared" si="3"/>
        <v>925000000</v>
      </c>
      <c r="J11" s="53">
        <f t="shared" si="4"/>
        <v>0</v>
      </c>
      <c r="K11" s="53">
        <f t="shared" si="5"/>
        <v>925000000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922</v>
      </c>
      <c r="H12" s="36">
        <f t="shared" si="2"/>
        <v>0</v>
      </c>
      <c r="I12" s="11">
        <f t="shared" si="3"/>
        <v>-276600000</v>
      </c>
      <c r="J12" s="53">
        <f t="shared" si="4"/>
        <v>0</v>
      </c>
      <c r="K12" s="53">
        <f t="shared" si="5"/>
        <v>-276600000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917</v>
      </c>
      <c r="H13" s="36">
        <f t="shared" si="2"/>
        <v>0</v>
      </c>
      <c r="I13" s="11">
        <f t="shared" si="3"/>
        <v>-56854000</v>
      </c>
      <c r="J13" s="53">
        <f t="shared" si="4"/>
        <v>0</v>
      </c>
      <c r="K13" s="53">
        <f t="shared" si="5"/>
        <v>-56854000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917</v>
      </c>
      <c r="H14" s="36">
        <f t="shared" si="2"/>
        <v>1</v>
      </c>
      <c r="I14" s="11">
        <f t="shared" si="3"/>
        <v>1832000000</v>
      </c>
      <c r="J14" s="53">
        <f t="shared" si="4"/>
        <v>0</v>
      </c>
      <c r="K14" s="53">
        <f t="shared" si="5"/>
        <v>1832000000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916</v>
      </c>
      <c r="H15" s="36">
        <f t="shared" si="2"/>
        <v>1</v>
      </c>
      <c r="I15" s="11">
        <f t="shared" si="3"/>
        <v>1647000000</v>
      </c>
      <c r="J15" s="53">
        <f t="shared" si="4"/>
        <v>0</v>
      </c>
      <c r="K15" s="53">
        <f t="shared" si="5"/>
        <v>1647000000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916</v>
      </c>
      <c r="H16" s="36">
        <f t="shared" si="2"/>
        <v>0</v>
      </c>
      <c r="I16" s="11">
        <f t="shared" si="3"/>
        <v>-183200000</v>
      </c>
      <c r="J16" s="53">
        <f t="shared" si="4"/>
        <v>0</v>
      </c>
      <c r="K16" s="53">
        <f t="shared" si="5"/>
        <v>-183200000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912</v>
      </c>
      <c r="H17" s="36">
        <f t="shared" si="2"/>
        <v>0</v>
      </c>
      <c r="I17" s="11">
        <f t="shared" si="3"/>
        <v>-1824000000</v>
      </c>
      <c r="J17" s="53">
        <f t="shared" si="4"/>
        <v>0</v>
      </c>
      <c r="K17" s="53">
        <f t="shared" si="5"/>
        <v>-1824000000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911</v>
      </c>
      <c r="H18" s="36">
        <f t="shared" si="2"/>
        <v>0</v>
      </c>
      <c r="I18" s="11">
        <f t="shared" si="3"/>
        <v>-273300000</v>
      </c>
      <c r="J18" s="53">
        <f t="shared" si="4"/>
        <v>0</v>
      </c>
      <c r="K18" s="53">
        <f t="shared" si="5"/>
        <v>-273300000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910</v>
      </c>
      <c r="H19" s="36">
        <f t="shared" si="2"/>
        <v>0</v>
      </c>
      <c r="I19" s="11">
        <f t="shared" si="3"/>
        <v>-182000000</v>
      </c>
      <c r="J19" s="53">
        <f t="shared" si="4"/>
        <v>0</v>
      </c>
      <c r="K19" s="53">
        <f t="shared" si="5"/>
        <v>-182000000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908</v>
      </c>
      <c r="H20" s="36">
        <f t="shared" si="2"/>
        <v>1</v>
      </c>
      <c r="I20" s="11">
        <f t="shared" si="3"/>
        <v>245877723</v>
      </c>
      <c r="J20" s="53">
        <f t="shared" si="4"/>
        <v>133738964</v>
      </c>
      <c r="K20" s="53">
        <f t="shared" si="5"/>
        <v>112138759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906</v>
      </c>
      <c r="H21" s="36">
        <f t="shared" si="2"/>
        <v>0</v>
      </c>
      <c r="I21" s="11">
        <f t="shared" si="3"/>
        <v>-1364164200</v>
      </c>
      <c r="J21" s="53">
        <f t="shared" si="4"/>
        <v>0</v>
      </c>
      <c r="K21" s="53">
        <f t="shared" si="5"/>
        <v>-1364164200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903</v>
      </c>
      <c r="H22" s="36">
        <f t="shared" si="2"/>
        <v>1</v>
      </c>
      <c r="I22" s="11">
        <f t="shared" si="3"/>
        <v>2706000000</v>
      </c>
      <c r="J22" s="53">
        <f t="shared" si="4"/>
        <v>0</v>
      </c>
      <c r="K22" s="53">
        <f t="shared" si="5"/>
        <v>2706000000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902</v>
      </c>
      <c r="H23" s="36">
        <f t="shared" si="2"/>
        <v>1</v>
      </c>
      <c r="I23" s="11">
        <f t="shared" si="3"/>
        <v>901000000</v>
      </c>
      <c r="J23" s="53">
        <f t="shared" si="4"/>
        <v>0</v>
      </c>
      <c r="K23" s="53">
        <f t="shared" si="5"/>
        <v>901000000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901</v>
      </c>
      <c r="H24" s="36">
        <f t="shared" si="2"/>
        <v>0</v>
      </c>
      <c r="I24" s="11">
        <f t="shared" si="3"/>
        <v>-2703810900</v>
      </c>
      <c r="J24" s="53">
        <f t="shared" si="4"/>
        <v>0</v>
      </c>
      <c r="K24" s="53">
        <f t="shared" si="5"/>
        <v>-2703810900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886</v>
      </c>
      <c r="H25" s="36">
        <f t="shared" si="2"/>
        <v>1</v>
      </c>
      <c r="I25" s="11">
        <f t="shared" si="3"/>
        <v>1327500000</v>
      </c>
      <c r="J25" s="53">
        <f t="shared" si="4"/>
        <v>0</v>
      </c>
      <c r="K25" s="53">
        <f t="shared" si="5"/>
        <v>1327500000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878</v>
      </c>
      <c r="H26" s="36">
        <f t="shared" si="2"/>
        <v>0</v>
      </c>
      <c r="I26" s="11">
        <f t="shared" si="3"/>
        <v>-143992000</v>
      </c>
      <c r="J26" s="53">
        <f t="shared" si="4"/>
        <v>0</v>
      </c>
      <c r="K26" s="53">
        <f t="shared" si="5"/>
        <v>-143992000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877</v>
      </c>
      <c r="H27" s="36">
        <f t="shared" si="2"/>
        <v>1</v>
      </c>
      <c r="I27" s="11">
        <f t="shared" si="3"/>
        <v>174668268</v>
      </c>
      <c r="J27" s="53">
        <f t="shared" si="4"/>
        <v>94093788</v>
      </c>
      <c r="K27" s="53">
        <f t="shared" si="5"/>
        <v>80574480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875</v>
      </c>
      <c r="H28" s="36">
        <f t="shared" si="2"/>
        <v>0</v>
      </c>
      <c r="I28" s="11">
        <f t="shared" si="3"/>
        <v>-193375000</v>
      </c>
      <c r="J28" s="53">
        <f t="shared" si="4"/>
        <v>-193375000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875</v>
      </c>
      <c r="H29" s="36">
        <f t="shared" si="2"/>
        <v>0</v>
      </c>
      <c r="I29" s="11">
        <f t="shared" si="3"/>
        <v>-437937500</v>
      </c>
      <c r="J29" s="53">
        <f t="shared" si="4"/>
        <v>0</v>
      </c>
      <c r="K29" s="53">
        <f t="shared" si="5"/>
        <v>-437937500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875</v>
      </c>
      <c r="H30" s="36">
        <f t="shared" si="2"/>
        <v>0</v>
      </c>
      <c r="I30" s="11">
        <f t="shared" si="3"/>
        <v>-13125000000</v>
      </c>
      <c r="J30" s="53">
        <f t="shared" si="4"/>
        <v>-13125000000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858</v>
      </c>
      <c r="H31" s="36">
        <f t="shared" si="2"/>
        <v>0</v>
      </c>
      <c r="I31" s="11">
        <f t="shared" si="3"/>
        <v>-2583352200</v>
      </c>
      <c r="J31" s="53">
        <f t="shared" si="4"/>
        <v>0</v>
      </c>
      <c r="K31" s="53">
        <f t="shared" si="5"/>
        <v>-2583352200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856</v>
      </c>
      <c r="H32" s="36">
        <f t="shared" si="2"/>
        <v>0</v>
      </c>
      <c r="I32" s="11">
        <f t="shared" si="3"/>
        <v>-2573050400</v>
      </c>
      <c r="J32" s="53">
        <f t="shared" si="4"/>
        <v>0</v>
      </c>
      <c r="K32" s="53">
        <f t="shared" si="5"/>
        <v>-2573050400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855</v>
      </c>
      <c r="H33" s="36">
        <f t="shared" si="2"/>
        <v>0</v>
      </c>
      <c r="I33" s="11">
        <f t="shared" si="3"/>
        <v>-765652500</v>
      </c>
      <c r="J33" s="53">
        <f t="shared" si="4"/>
        <v>0</v>
      </c>
      <c r="K33" s="53">
        <f t="shared" si="5"/>
        <v>-765652500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855</v>
      </c>
      <c r="H34" s="36">
        <f t="shared" si="2"/>
        <v>0</v>
      </c>
      <c r="I34" s="11">
        <f t="shared" si="3"/>
        <v>0</v>
      </c>
      <c r="J34" s="53">
        <f t="shared" si="4"/>
        <v>855000000</v>
      </c>
      <c r="K34" s="53">
        <f t="shared" si="5"/>
        <v>-855000000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846</v>
      </c>
      <c r="H35" s="36">
        <f t="shared" si="2"/>
        <v>1</v>
      </c>
      <c r="I35" s="11">
        <f t="shared" si="3"/>
        <v>44338840</v>
      </c>
      <c r="J35" s="53">
        <f t="shared" si="4"/>
        <v>-18305235</v>
      </c>
      <c r="K35" s="53">
        <f t="shared" si="5"/>
        <v>62644075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846</v>
      </c>
      <c r="H36" s="36">
        <f t="shared" si="2"/>
        <v>0</v>
      </c>
      <c r="I36" s="11">
        <f t="shared" si="3"/>
        <v>0</v>
      </c>
      <c r="J36" s="53">
        <f t="shared" si="4"/>
        <v>18326898</v>
      </c>
      <c r="K36" s="53">
        <f t="shared" si="5"/>
        <v>-18326898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836</v>
      </c>
      <c r="H37" s="36">
        <f t="shared" si="2"/>
        <v>0</v>
      </c>
      <c r="I37" s="11">
        <f t="shared" si="3"/>
        <v>-45980000</v>
      </c>
      <c r="J37" s="53">
        <f t="shared" si="4"/>
        <v>0</v>
      </c>
      <c r="K37" s="53">
        <f t="shared" si="5"/>
        <v>-45980000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835</v>
      </c>
      <c r="H38" s="36">
        <f t="shared" si="2"/>
        <v>1</v>
      </c>
      <c r="I38" s="11">
        <f t="shared" si="3"/>
        <v>2502000000</v>
      </c>
      <c r="J38" s="53">
        <f t="shared" si="4"/>
        <v>2502000000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834</v>
      </c>
      <c r="H39" s="36">
        <f t="shared" si="2"/>
        <v>1</v>
      </c>
      <c r="I39" s="11">
        <f t="shared" si="3"/>
        <v>2082500000</v>
      </c>
      <c r="J39" s="53">
        <f t="shared" si="4"/>
        <v>2082500000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834</v>
      </c>
      <c r="H40" s="36">
        <f t="shared" si="2"/>
        <v>0</v>
      </c>
      <c r="I40" s="11">
        <f t="shared" si="3"/>
        <v>-41700000</v>
      </c>
      <c r="J40" s="53">
        <f t="shared" si="4"/>
        <v>0</v>
      </c>
      <c r="K40" s="53">
        <f t="shared" si="5"/>
        <v>-41700000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834</v>
      </c>
      <c r="H41" s="36">
        <f t="shared" si="2"/>
        <v>1</v>
      </c>
      <c r="I41" s="11">
        <f t="shared" si="3"/>
        <v>2499000000</v>
      </c>
      <c r="J41" s="53">
        <f t="shared" si="4"/>
        <v>0</v>
      </c>
      <c r="K41" s="53">
        <f t="shared" si="5"/>
        <v>2499000000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831</v>
      </c>
      <c r="H42" s="36">
        <f t="shared" si="2"/>
        <v>0</v>
      </c>
      <c r="I42" s="11">
        <f t="shared" si="3"/>
        <v>-74125200</v>
      </c>
      <c r="J42" s="53">
        <f t="shared" si="4"/>
        <v>0</v>
      </c>
      <c r="K42" s="53">
        <f t="shared" si="5"/>
        <v>-74125200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827</v>
      </c>
      <c r="H43" s="36">
        <f t="shared" si="2"/>
        <v>0</v>
      </c>
      <c r="I43" s="11">
        <f t="shared" si="3"/>
        <v>-165400000</v>
      </c>
      <c r="J43" s="53">
        <f t="shared" si="4"/>
        <v>0</v>
      </c>
      <c r="K43" s="53">
        <f t="shared" si="5"/>
        <v>-165400000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825</v>
      </c>
      <c r="H44" s="36">
        <f t="shared" si="2"/>
        <v>0</v>
      </c>
      <c r="I44" s="11">
        <f t="shared" si="3"/>
        <v>-165000000</v>
      </c>
      <c r="J44" s="53">
        <f t="shared" si="4"/>
        <v>0</v>
      </c>
      <c r="K44" s="53">
        <f t="shared" si="5"/>
        <v>-165000000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825</v>
      </c>
      <c r="H45" s="36">
        <f t="shared" si="2"/>
        <v>0</v>
      </c>
      <c r="I45" s="11">
        <f t="shared" si="3"/>
        <v>-462000000</v>
      </c>
      <c r="J45" s="53">
        <f t="shared" si="4"/>
        <v>0</v>
      </c>
      <c r="K45" s="53">
        <f t="shared" si="5"/>
        <v>-462000000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821</v>
      </c>
      <c r="H46" s="36">
        <f t="shared" si="2"/>
        <v>0</v>
      </c>
      <c r="I46" s="11">
        <f t="shared" si="3"/>
        <v>-579215500</v>
      </c>
      <c r="J46" s="53">
        <f t="shared" si="4"/>
        <v>0</v>
      </c>
      <c r="K46" s="53">
        <f t="shared" si="5"/>
        <v>-579215500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815</v>
      </c>
      <c r="H47" s="36">
        <f t="shared" si="2"/>
        <v>1</v>
      </c>
      <c r="I47" s="11">
        <f t="shared" si="3"/>
        <v>33540056</v>
      </c>
      <c r="J47" s="53">
        <f t="shared" si="4"/>
        <v>5464382</v>
      </c>
      <c r="K47" s="53">
        <f t="shared" si="5"/>
        <v>28075674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815</v>
      </c>
      <c r="H48" s="36">
        <f t="shared" si="2"/>
        <v>1</v>
      </c>
      <c r="I48" s="11">
        <f t="shared" si="3"/>
        <v>1387625800</v>
      </c>
      <c r="J48" s="53">
        <f t="shared" si="4"/>
        <v>0</v>
      </c>
      <c r="K48" s="53">
        <f t="shared" si="5"/>
        <v>1387625800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806</v>
      </c>
      <c r="H49" s="36">
        <f t="shared" si="2"/>
        <v>0</v>
      </c>
      <c r="I49" s="11">
        <f t="shared" si="3"/>
        <v>-124930000</v>
      </c>
      <c r="J49" s="53">
        <f t="shared" si="4"/>
        <v>0</v>
      </c>
      <c r="K49" s="53">
        <f t="shared" si="5"/>
        <v>-124930000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806</v>
      </c>
      <c r="H50" s="36">
        <f t="shared" si="2"/>
        <v>0</v>
      </c>
      <c r="I50" s="11">
        <f t="shared" si="3"/>
        <v>-111228000</v>
      </c>
      <c r="J50" s="53">
        <f t="shared" si="4"/>
        <v>0</v>
      </c>
      <c r="K50" s="53">
        <f t="shared" si="5"/>
        <v>-111228000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806</v>
      </c>
      <c r="H51" s="36">
        <f t="shared" si="2"/>
        <v>0</v>
      </c>
      <c r="I51" s="11">
        <f t="shared" si="3"/>
        <v>-596440000</v>
      </c>
      <c r="J51" s="53">
        <f t="shared" si="4"/>
        <v>0</v>
      </c>
      <c r="K51" s="53">
        <f t="shared" si="5"/>
        <v>-596440000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806</v>
      </c>
      <c r="H52" s="36">
        <f t="shared" si="2"/>
        <v>0</v>
      </c>
      <c r="I52" s="11">
        <f t="shared" si="3"/>
        <v>-161200000</v>
      </c>
      <c r="J52" s="53">
        <f t="shared" si="4"/>
        <v>0</v>
      </c>
      <c r="K52" s="53">
        <f t="shared" si="5"/>
        <v>-161200000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805</v>
      </c>
      <c r="H53" s="36">
        <f t="shared" si="2"/>
        <v>0</v>
      </c>
      <c r="I53" s="11">
        <f t="shared" si="3"/>
        <v>-849275000</v>
      </c>
      <c r="J53" s="53">
        <f t="shared" si="4"/>
        <v>0</v>
      </c>
      <c r="K53" s="53">
        <f t="shared" si="5"/>
        <v>-849275000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805</v>
      </c>
      <c r="H54" s="36">
        <f t="shared" si="2"/>
        <v>0</v>
      </c>
      <c r="I54" s="11">
        <f t="shared" si="3"/>
        <v>-161000000</v>
      </c>
      <c r="J54" s="53">
        <f t="shared" si="4"/>
        <v>0</v>
      </c>
      <c r="K54" s="53">
        <f t="shared" si="5"/>
        <v>-161000000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805</v>
      </c>
      <c r="H55" s="36">
        <f t="shared" si="2"/>
        <v>0</v>
      </c>
      <c r="I55" s="11">
        <f t="shared" si="3"/>
        <v>-805402500</v>
      </c>
      <c r="J55" s="53">
        <f t="shared" si="4"/>
        <v>0</v>
      </c>
      <c r="K55" s="53">
        <f t="shared" si="5"/>
        <v>-805402500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805</v>
      </c>
      <c r="H56" s="36">
        <f t="shared" si="2"/>
        <v>0</v>
      </c>
      <c r="I56" s="11">
        <f t="shared" si="3"/>
        <v>-30590000</v>
      </c>
      <c r="J56" s="53">
        <f t="shared" si="4"/>
        <v>0</v>
      </c>
      <c r="K56" s="53">
        <f t="shared" si="5"/>
        <v>-30590000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805</v>
      </c>
      <c r="H57" s="36">
        <f t="shared" si="2"/>
        <v>0</v>
      </c>
      <c r="I57" s="11">
        <f t="shared" si="3"/>
        <v>-84525000</v>
      </c>
      <c r="J57" s="53">
        <f t="shared" si="4"/>
        <v>0</v>
      </c>
      <c r="K57" s="53">
        <f t="shared" si="5"/>
        <v>-84525000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805</v>
      </c>
      <c r="H58" s="36">
        <f t="shared" si="2"/>
        <v>0</v>
      </c>
      <c r="I58" s="11">
        <f t="shared" si="3"/>
        <v>-48300000</v>
      </c>
      <c r="J58" s="53">
        <f t="shared" si="4"/>
        <v>0</v>
      </c>
      <c r="K58" s="53">
        <f t="shared" si="5"/>
        <v>-48300000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802</v>
      </c>
      <c r="H59" s="36">
        <f t="shared" si="2"/>
        <v>1</v>
      </c>
      <c r="I59" s="11">
        <f t="shared" si="3"/>
        <v>801000000</v>
      </c>
      <c r="J59" s="53">
        <f t="shared" si="4"/>
        <v>801000000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801</v>
      </c>
      <c r="H60" s="36">
        <f t="shared" si="2"/>
        <v>1</v>
      </c>
      <c r="I60" s="11">
        <f t="shared" si="3"/>
        <v>2800000000</v>
      </c>
      <c r="J60" s="53">
        <f t="shared" si="4"/>
        <v>2800000000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799</v>
      </c>
      <c r="H61" s="36">
        <f t="shared" si="2"/>
        <v>1</v>
      </c>
      <c r="I61" s="11">
        <f t="shared" si="3"/>
        <v>798000000</v>
      </c>
      <c r="J61" s="53">
        <f t="shared" si="4"/>
        <v>798000000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799</v>
      </c>
      <c r="H62" s="36">
        <f t="shared" si="2"/>
        <v>1</v>
      </c>
      <c r="I62" s="11">
        <f t="shared" si="3"/>
        <v>2394000000</v>
      </c>
      <c r="J62" s="53">
        <f t="shared" si="4"/>
        <v>2394000000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797</v>
      </c>
      <c r="H63" s="36">
        <f t="shared" si="2"/>
        <v>0</v>
      </c>
      <c r="I63" s="11">
        <f t="shared" si="3"/>
        <v>-159400000</v>
      </c>
      <c r="J63" s="53">
        <f t="shared" si="4"/>
        <v>0</v>
      </c>
      <c r="K63" s="53">
        <f t="shared" si="5"/>
        <v>-159400000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792</v>
      </c>
      <c r="H64" s="36">
        <f t="shared" si="2"/>
        <v>0</v>
      </c>
      <c r="I64" s="11">
        <f t="shared" si="3"/>
        <v>-39600000</v>
      </c>
      <c r="J64" s="53">
        <f t="shared" si="4"/>
        <v>0</v>
      </c>
      <c r="K64" s="53">
        <f t="shared" si="5"/>
        <v>-39600000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788</v>
      </c>
      <c r="H65" s="36">
        <f t="shared" si="2"/>
        <v>0</v>
      </c>
      <c r="I65" s="11">
        <f t="shared" si="3"/>
        <v>-157600000</v>
      </c>
      <c r="J65" s="53">
        <f t="shared" si="4"/>
        <v>0</v>
      </c>
      <c r="K65" s="53">
        <f t="shared" si="5"/>
        <v>-157600000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785</v>
      </c>
      <c r="H66" s="36">
        <f t="shared" si="2"/>
        <v>0</v>
      </c>
      <c r="I66" s="11">
        <f t="shared" si="3"/>
        <v>-133450000</v>
      </c>
      <c r="J66" s="53">
        <f t="shared" si="4"/>
        <v>0</v>
      </c>
      <c r="K66" s="53">
        <f t="shared" si="5"/>
        <v>-133450000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784</v>
      </c>
      <c r="H67" s="36">
        <f t="shared" ref="H67:H131" si="8">IF(B67&gt;0,1,0)</f>
        <v>1</v>
      </c>
      <c r="I67" s="11">
        <f t="shared" ref="I67:I119" si="9">B67*(G67-H67)</f>
        <v>71507475</v>
      </c>
      <c r="J67" s="53">
        <f t="shared" ref="J67:J131" si="10">C67*(G67-H67)</f>
        <v>51461109</v>
      </c>
      <c r="K67" s="53">
        <f t="shared" ref="K67:K131" si="11">D67*(G67-H67)</f>
        <v>20046366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766</v>
      </c>
      <c r="H68" s="36">
        <f t="shared" si="8"/>
        <v>0</v>
      </c>
      <c r="I68" s="11">
        <f t="shared" si="9"/>
        <v>-111070000</v>
      </c>
      <c r="J68" s="53">
        <f t="shared" si="10"/>
        <v>0</v>
      </c>
      <c r="K68" s="53">
        <f t="shared" si="11"/>
        <v>-111070000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759</v>
      </c>
      <c r="H69" s="36">
        <f t="shared" si="8"/>
        <v>1</v>
      </c>
      <c r="I69" s="11">
        <f t="shared" si="9"/>
        <v>742840000</v>
      </c>
      <c r="J69" s="53">
        <f t="shared" si="10"/>
        <v>0</v>
      </c>
      <c r="K69" s="53">
        <f t="shared" si="11"/>
        <v>742840000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756</v>
      </c>
      <c r="H70" s="36">
        <f t="shared" si="8"/>
        <v>0</v>
      </c>
      <c r="I70" s="11">
        <f t="shared" si="9"/>
        <v>-34776000</v>
      </c>
      <c r="J70" s="53">
        <f t="shared" si="10"/>
        <v>0</v>
      </c>
      <c r="K70" s="53">
        <f t="shared" si="11"/>
        <v>-34776000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754</v>
      </c>
      <c r="H71" s="36">
        <f t="shared" si="8"/>
        <v>1</v>
      </c>
      <c r="I71" s="11">
        <f t="shared" si="9"/>
        <v>86849514</v>
      </c>
      <c r="J71" s="53">
        <f t="shared" si="10"/>
        <v>78170436</v>
      </c>
      <c r="K71" s="53">
        <f t="shared" si="11"/>
        <v>8679078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753</v>
      </c>
      <c r="H72" s="36">
        <f t="shared" si="8"/>
        <v>0</v>
      </c>
      <c r="I72" s="11">
        <f t="shared" si="9"/>
        <v>-114432657</v>
      </c>
      <c r="J72" s="53">
        <f t="shared" si="10"/>
        <v>0</v>
      </c>
      <c r="K72" s="53">
        <f t="shared" si="11"/>
        <v>-114432657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752</v>
      </c>
      <c r="H73" s="36">
        <f t="shared" si="8"/>
        <v>0</v>
      </c>
      <c r="I73" s="11">
        <f t="shared" si="9"/>
        <v>-605736000</v>
      </c>
      <c r="J73" s="53">
        <f t="shared" si="10"/>
        <v>0</v>
      </c>
      <c r="K73" s="53">
        <f t="shared" si="11"/>
        <v>-605736000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745</v>
      </c>
      <c r="H74" s="36">
        <f t="shared" si="8"/>
        <v>1</v>
      </c>
      <c r="I74" s="11">
        <f t="shared" si="9"/>
        <v>5204280000</v>
      </c>
      <c r="J74" s="53">
        <f t="shared" si="10"/>
        <v>0</v>
      </c>
      <c r="K74" s="53">
        <f t="shared" si="11"/>
        <v>5204280000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744</v>
      </c>
      <c r="H75" s="36">
        <f t="shared" si="8"/>
        <v>1</v>
      </c>
      <c r="I75" s="11">
        <f t="shared" si="9"/>
        <v>2229000000</v>
      </c>
      <c r="J75" s="53">
        <f t="shared" si="10"/>
        <v>0</v>
      </c>
      <c r="K75" s="53">
        <f t="shared" si="11"/>
        <v>2229000000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742</v>
      </c>
      <c r="H76" s="36">
        <f t="shared" si="8"/>
        <v>1</v>
      </c>
      <c r="I76" s="11">
        <f t="shared" si="9"/>
        <v>2223000000</v>
      </c>
      <c r="J76" s="53">
        <f t="shared" si="10"/>
        <v>0</v>
      </c>
      <c r="K76" s="53">
        <f t="shared" si="11"/>
        <v>2223000000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741</v>
      </c>
      <c r="H77" s="36">
        <f t="shared" si="8"/>
        <v>1</v>
      </c>
      <c r="I77" s="11">
        <f t="shared" si="9"/>
        <v>2220000000</v>
      </c>
      <c r="J77" s="53">
        <f t="shared" si="10"/>
        <v>0</v>
      </c>
      <c r="K77" s="53">
        <f t="shared" si="11"/>
        <v>2220000000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740</v>
      </c>
      <c r="H78" s="36">
        <f t="shared" si="8"/>
        <v>0</v>
      </c>
      <c r="I78" s="11">
        <f t="shared" si="9"/>
        <v>-2368000000</v>
      </c>
      <c r="J78" s="53">
        <f t="shared" si="10"/>
        <v>-2368000000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739</v>
      </c>
      <c r="H79" s="36">
        <f t="shared" si="8"/>
        <v>0</v>
      </c>
      <c r="I79" s="11">
        <f t="shared" si="9"/>
        <v>-591200000</v>
      </c>
      <c r="J79" s="53">
        <f t="shared" si="10"/>
        <v>-591200000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738</v>
      </c>
      <c r="H80" s="36">
        <f t="shared" si="8"/>
        <v>0</v>
      </c>
      <c r="I80" s="11">
        <f t="shared" si="9"/>
        <v>-35714034</v>
      </c>
      <c r="J80" s="53">
        <f t="shared" si="10"/>
        <v>0</v>
      </c>
      <c r="K80" s="53">
        <f t="shared" si="11"/>
        <v>-35714034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737</v>
      </c>
      <c r="H81" s="36">
        <f t="shared" si="8"/>
        <v>0</v>
      </c>
      <c r="I81" s="11">
        <f t="shared" si="9"/>
        <v>-103180000</v>
      </c>
      <c r="J81" s="53">
        <f t="shared" si="10"/>
        <v>0</v>
      </c>
      <c r="K81" s="53">
        <f t="shared" si="11"/>
        <v>-103180000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736</v>
      </c>
      <c r="H82" s="36">
        <f t="shared" si="8"/>
        <v>0</v>
      </c>
      <c r="I82" s="11">
        <f t="shared" si="9"/>
        <v>-184000000</v>
      </c>
      <c r="J82" s="53">
        <f t="shared" si="10"/>
        <v>0</v>
      </c>
      <c r="K82" s="53">
        <f t="shared" si="11"/>
        <v>-184000000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735</v>
      </c>
      <c r="H83" s="36">
        <f t="shared" si="8"/>
        <v>0</v>
      </c>
      <c r="I83" s="11">
        <f t="shared" si="9"/>
        <v>-147000000</v>
      </c>
      <c r="J83" s="53">
        <f t="shared" si="10"/>
        <v>0</v>
      </c>
      <c r="K83" s="53">
        <f t="shared" si="11"/>
        <v>-147000000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732</v>
      </c>
      <c r="H84" s="36">
        <f t="shared" si="8"/>
        <v>1</v>
      </c>
      <c r="I84" s="11">
        <f t="shared" si="9"/>
        <v>1195331200</v>
      </c>
      <c r="J84" s="53">
        <f t="shared" si="10"/>
        <v>0</v>
      </c>
      <c r="K84" s="53">
        <f t="shared" si="11"/>
        <v>1195331200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728</v>
      </c>
      <c r="H85" s="36">
        <f t="shared" si="8"/>
        <v>1</v>
      </c>
      <c r="I85" s="11">
        <f t="shared" si="9"/>
        <v>1817500000</v>
      </c>
      <c r="J85" s="53">
        <f t="shared" si="10"/>
        <v>0</v>
      </c>
      <c r="K85" s="53">
        <f t="shared" si="11"/>
        <v>1817500000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724</v>
      </c>
      <c r="H86" s="36">
        <f t="shared" si="8"/>
        <v>1</v>
      </c>
      <c r="I86" s="11">
        <f t="shared" si="9"/>
        <v>134694900</v>
      </c>
      <c r="J86" s="53">
        <f t="shared" si="10"/>
        <v>61418850</v>
      </c>
      <c r="K86" s="53">
        <f t="shared" si="11"/>
        <v>73276050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721</v>
      </c>
      <c r="H87" s="36">
        <f t="shared" si="8"/>
        <v>0</v>
      </c>
      <c r="I87" s="11">
        <f t="shared" si="9"/>
        <v>-144200000</v>
      </c>
      <c r="J87" s="53">
        <f t="shared" si="10"/>
        <v>0</v>
      </c>
      <c r="K87" s="53">
        <f t="shared" si="11"/>
        <v>-144200000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720</v>
      </c>
      <c r="H88" s="36">
        <f t="shared" si="8"/>
        <v>0</v>
      </c>
      <c r="I88" s="11">
        <f t="shared" si="9"/>
        <v>-84960000</v>
      </c>
      <c r="J88" s="53">
        <f t="shared" si="10"/>
        <v>-49680000</v>
      </c>
      <c r="K88" s="53">
        <f t="shared" si="11"/>
        <v>-35280000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712</v>
      </c>
      <c r="H89" s="36">
        <f t="shared" si="8"/>
        <v>0</v>
      </c>
      <c r="I89" s="11">
        <f t="shared" si="9"/>
        <v>-2279040800</v>
      </c>
      <c r="J89" s="53">
        <f t="shared" si="10"/>
        <v>0</v>
      </c>
      <c r="K89" s="53">
        <f t="shared" si="11"/>
        <v>-2279040800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711</v>
      </c>
      <c r="H90" s="36">
        <f t="shared" si="8"/>
        <v>0</v>
      </c>
      <c r="I90" s="11">
        <f t="shared" si="9"/>
        <v>-2275839900</v>
      </c>
      <c r="J90" s="53">
        <f t="shared" si="10"/>
        <v>0</v>
      </c>
      <c r="K90" s="53">
        <f t="shared" si="11"/>
        <v>-2275839900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710</v>
      </c>
      <c r="H91" s="36">
        <f t="shared" si="8"/>
        <v>0</v>
      </c>
      <c r="I91" s="11">
        <f t="shared" si="9"/>
        <v>-2272639000</v>
      </c>
      <c r="J91" s="53">
        <f t="shared" si="10"/>
        <v>0</v>
      </c>
      <c r="K91" s="53">
        <f t="shared" si="11"/>
        <v>-2272639000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709</v>
      </c>
      <c r="H92" s="36">
        <f t="shared" si="8"/>
        <v>0</v>
      </c>
      <c r="I92" s="11">
        <f t="shared" si="9"/>
        <v>-2269438100</v>
      </c>
      <c r="J92" s="53">
        <f t="shared" si="10"/>
        <v>0</v>
      </c>
      <c r="K92" s="53">
        <f t="shared" si="11"/>
        <v>-2269438100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708</v>
      </c>
      <c r="H93" s="36">
        <f t="shared" si="8"/>
        <v>0</v>
      </c>
      <c r="I93" s="11">
        <f t="shared" si="9"/>
        <v>-2266237200</v>
      </c>
      <c r="J93" s="53">
        <f t="shared" si="10"/>
        <v>0</v>
      </c>
      <c r="K93" s="53">
        <f t="shared" si="11"/>
        <v>-2266237200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707</v>
      </c>
      <c r="H94" s="36">
        <f t="shared" si="8"/>
        <v>0</v>
      </c>
      <c r="I94" s="11">
        <f t="shared" si="9"/>
        <v>-2263036300</v>
      </c>
      <c r="J94" s="53">
        <f t="shared" si="10"/>
        <v>0</v>
      </c>
      <c r="K94" s="53">
        <f t="shared" si="11"/>
        <v>-2263036300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705</v>
      </c>
      <c r="H95" s="36">
        <f t="shared" si="8"/>
        <v>0</v>
      </c>
      <c r="I95" s="11">
        <f t="shared" si="9"/>
        <v>-843600180</v>
      </c>
      <c r="J95" s="53">
        <f t="shared" si="10"/>
        <v>0</v>
      </c>
      <c r="K95" s="53">
        <f t="shared" si="11"/>
        <v>-843600180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695</v>
      </c>
      <c r="H96" s="36">
        <f t="shared" si="8"/>
        <v>0</v>
      </c>
      <c r="I96" s="11">
        <f t="shared" si="9"/>
        <v>-139000000</v>
      </c>
      <c r="J96" s="53">
        <f t="shared" si="10"/>
        <v>0</v>
      </c>
      <c r="K96" s="53">
        <f t="shared" si="11"/>
        <v>-139000000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694</v>
      </c>
      <c r="H97" s="36">
        <f t="shared" si="8"/>
        <v>1</v>
      </c>
      <c r="I97" s="11">
        <f t="shared" si="9"/>
        <v>110573694</v>
      </c>
      <c r="J97" s="53">
        <f t="shared" si="10"/>
        <v>47765718</v>
      </c>
      <c r="K97" s="53">
        <f t="shared" si="11"/>
        <v>62807976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689</v>
      </c>
      <c r="H98" s="36">
        <f t="shared" si="8"/>
        <v>1</v>
      </c>
      <c r="I98" s="11">
        <f t="shared" si="9"/>
        <v>78685184</v>
      </c>
      <c r="J98" s="53">
        <f t="shared" si="10"/>
        <v>0</v>
      </c>
      <c r="K98" s="53">
        <f t="shared" si="11"/>
        <v>78685184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686</v>
      </c>
      <c r="H99" s="36">
        <f t="shared" si="8"/>
        <v>0</v>
      </c>
      <c r="I99" s="11">
        <f t="shared" si="9"/>
        <v>-908950000</v>
      </c>
      <c r="J99" s="53">
        <f t="shared" si="10"/>
        <v>0</v>
      </c>
      <c r="K99" s="53">
        <f t="shared" si="11"/>
        <v>-908950000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681</v>
      </c>
      <c r="H100" s="36">
        <f t="shared" si="8"/>
        <v>1</v>
      </c>
      <c r="I100" s="11">
        <f t="shared" si="9"/>
        <v>901000000</v>
      </c>
      <c r="J100" s="53">
        <f t="shared" si="10"/>
        <v>0</v>
      </c>
      <c r="K100" s="53">
        <f t="shared" si="11"/>
        <v>901000000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664</v>
      </c>
      <c r="H101" s="36">
        <f t="shared" si="8"/>
        <v>1</v>
      </c>
      <c r="I101" s="11">
        <f t="shared" si="9"/>
        <v>44318235</v>
      </c>
      <c r="J101" s="53">
        <f t="shared" si="10"/>
        <v>44318235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661</v>
      </c>
      <c r="H102" s="36">
        <f t="shared" si="8"/>
        <v>1</v>
      </c>
      <c r="I102" s="11">
        <f t="shared" si="9"/>
        <v>1980000000</v>
      </c>
      <c r="J102" s="53">
        <f t="shared" si="10"/>
        <v>0</v>
      </c>
      <c r="K102" s="53">
        <f t="shared" si="11"/>
        <v>1980000000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654</v>
      </c>
      <c r="H103" s="36">
        <f t="shared" si="8"/>
        <v>0</v>
      </c>
      <c r="I103" s="11">
        <f t="shared" si="9"/>
        <v>-654000000</v>
      </c>
      <c r="J103" s="53">
        <f t="shared" si="10"/>
        <v>-654000000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644</v>
      </c>
      <c r="H104" s="36">
        <f t="shared" si="8"/>
        <v>1</v>
      </c>
      <c r="I104" s="11">
        <f t="shared" si="9"/>
        <v>1929000000</v>
      </c>
      <c r="J104" s="53">
        <f t="shared" si="10"/>
        <v>1929000000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643</v>
      </c>
      <c r="H105" s="36">
        <f t="shared" si="8"/>
        <v>1</v>
      </c>
      <c r="I105" s="11">
        <f t="shared" si="9"/>
        <v>719040000</v>
      </c>
      <c r="J105" s="53">
        <f t="shared" si="10"/>
        <v>719040000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643</v>
      </c>
      <c r="H106" s="36">
        <f t="shared" si="8"/>
        <v>0</v>
      </c>
      <c r="I106" s="11">
        <f t="shared" si="9"/>
        <v>-1929000000</v>
      </c>
      <c r="J106" s="53">
        <f t="shared" si="10"/>
        <v>0</v>
      </c>
      <c r="K106" s="53">
        <f t="shared" si="11"/>
        <v>-1929000000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634</v>
      </c>
      <c r="H107" s="36">
        <f t="shared" si="8"/>
        <v>1</v>
      </c>
      <c r="I107" s="11">
        <f t="shared" si="9"/>
        <v>57282702</v>
      </c>
      <c r="J107" s="53">
        <f t="shared" si="10"/>
        <v>47547795</v>
      </c>
      <c r="K107" s="53">
        <f t="shared" si="11"/>
        <v>9734907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632</v>
      </c>
      <c r="H108" s="36">
        <f t="shared" si="8"/>
        <v>0</v>
      </c>
      <c r="I108" s="11">
        <f t="shared" si="9"/>
        <v>-1074842400</v>
      </c>
      <c r="J108" s="53">
        <f t="shared" si="10"/>
        <v>0</v>
      </c>
      <c r="K108" s="53">
        <f t="shared" si="11"/>
        <v>-1074842400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628</v>
      </c>
      <c r="H109" s="36">
        <f t="shared" si="8"/>
        <v>0</v>
      </c>
      <c r="I109" s="11">
        <f t="shared" si="9"/>
        <v>-628314000</v>
      </c>
      <c r="J109" s="53">
        <f t="shared" si="10"/>
        <v>0</v>
      </c>
      <c r="K109" s="53">
        <f t="shared" si="11"/>
        <v>-628314000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625</v>
      </c>
      <c r="H110" s="36">
        <f t="shared" si="8"/>
        <v>1</v>
      </c>
      <c r="I110" s="11">
        <f t="shared" si="9"/>
        <v>12480000000</v>
      </c>
      <c r="J110" s="53">
        <f t="shared" si="10"/>
        <v>0</v>
      </c>
      <c r="K110" s="53">
        <f t="shared" si="11"/>
        <v>12480000000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605</v>
      </c>
      <c r="H111" s="36">
        <f t="shared" si="8"/>
        <v>1</v>
      </c>
      <c r="I111" s="11">
        <f t="shared" si="9"/>
        <v>105505512</v>
      </c>
      <c r="J111" s="53">
        <f t="shared" si="10"/>
        <v>52767252</v>
      </c>
      <c r="K111" s="53">
        <f t="shared" si="11"/>
        <v>52738260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589</v>
      </c>
      <c r="H112" s="36">
        <f t="shared" si="8"/>
        <v>0</v>
      </c>
      <c r="I112" s="11">
        <f t="shared" si="9"/>
        <v>-16727600000</v>
      </c>
      <c r="J112" s="53">
        <f t="shared" si="10"/>
        <v>0</v>
      </c>
      <c r="K112" s="53">
        <f t="shared" si="11"/>
        <v>-16727600000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574</v>
      </c>
      <c r="H113" s="36">
        <f t="shared" si="8"/>
        <v>1</v>
      </c>
      <c r="I113" s="11">
        <f t="shared" si="9"/>
        <v>93421920</v>
      </c>
      <c r="J113" s="53">
        <f t="shared" si="10"/>
        <v>70198803</v>
      </c>
      <c r="K113" s="53">
        <f t="shared" si="11"/>
        <v>23223117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574</v>
      </c>
      <c r="H114" s="36">
        <f t="shared" si="8"/>
        <v>0</v>
      </c>
      <c r="I114" s="11">
        <f t="shared" si="9"/>
        <v>-3271800</v>
      </c>
      <c r="J114" s="53">
        <f t="shared" si="10"/>
        <v>-1435000</v>
      </c>
      <c r="K114" s="53">
        <f t="shared" si="11"/>
        <v>-1836800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561</v>
      </c>
      <c r="H115" s="36">
        <f t="shared" si="8"/>
        <v>0</v>
      </c>
      <c r="I115" s="11">
        <f t="shared" si="9"/>
        <v>0</v>
      </c>
      <c r="J115" s="53">
        <f t="shared" si="10"/>
        <v>280500000</v>
      </c>
      <c r="K115" s="53">
        <f t="shared" si="11"/>
        <v>-280500000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553</v>
      </c>
      <c r="H116" s="36">
        <f t="shared" si="8"/>
        <v>0</v>
      </c>
      <c r="I116" s="11">
        <f t="shared" si="9"/>
        <v>-88480000</v>
      </c>
      <c r="J116" s="53">
        <f t="shared" si="10"/>
        <v>0</v>
      </c>
      <c r="K116" s="53">
        <f t="shared" si="11"/>
        <v>-88480000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544</v>
      </c>
      <c r="H117" s="36">
        <f t="shared" si="8"/>
        <v>1</v>
      </c>
      <c r="I117" s="11">
        <f t="shared" si="9"/>
        <v>803640</v>
      </c>
      <c r="J117" s="53">
        <f t="shared" si="10"/>
        <v>58068963</v>
      </c>
      <c r="K117" s="53">
        <f t="shared" si="11"/>
        <v>-57265323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522</v>
      </c>
      <c r="H118" s="36">
        <f t="shared" si="8"/>
        <v>1</v>
      </c>
      <c r="I118" s="11">
        <f t="shared" si="9"/>
        <v>20527139500</v>
      </c>
      <c r="J118" s="53">
        <f t="shared" si="10"/>
        <v>0</v>
      </c>
      <c r="K118" s="53">
        <f t="shared" si="11"/>
        <v>20527139500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513</v>
      </c>
      <c r="H119" s="36">
        <f t="shared" si="8"/>
        <v>1</v>
      </c>
      <c r="I119" s="11">
        <f t="shared" si="9"/>
        <v>48906752</v>
      </c>
      <c r="J119" s="53">
        <f t="shared" si="10"/>
        <v>56347648</v>
      </c>
      <c r="K119" s="53">
        <f t="shared" si="11"/>
        <v>-7440896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509</v>
      </c>
      <c r="H120" s="11">
        <f t="shared" si="8"/>
        <v>1</v>
      </c>
      <c r="I120" s="11">
        <f t="shared" ref="I120:I266" si="13">B120*(G120-H120)</f>
        <v>1016000000</v>
      </c>
      <c r="J120" s="11">
        <f t="shared" si="10"/>
        <v>0</v>
      </c>
      <c r="K120" s="11">
        <f t="shared" si="11"/>
        <v>1016000000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483</v>
      </c>
      <c r="H121" s="11">
        <f t="shared" si="8"/>
        <v>1</v>
      </c>
      <c r="I121" s="11">
        <f t="shared" si="13"/>
        <v>1253200000</v>
      </c>
      <c r="J121" s="11">
        <f t="shared" si="10"/>
        <v>0</v>
      </c>
      <c r="K121" s="11">
        <f t="shared" si="11"/>
        <v>1253200000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482</v>
      </c>
      <c r="H122" s="11">
        <f t="shared" si="8"/>
        <v>1</v>
      </c>
      <c r="I122" s="11">
        <f t="shared" si="13"/>
        <v>184969031</v>
      </c>
      <c r="J122" s="11">
        <f t="shared" si="10"/>
        <v>53346748</v>
      </c>
      <c r="K122" s="11">
        <f t="shared" si="11"/>
        <v>131622283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481</v>
      </c>
      <c r="H123" s="11">
        <f t="shared" si="8"/>
        <v>0</v>
      </c>
      <c r="I123" s="11">
        <f t="shared" si="13"/>
        <v>0</v>
      </c>
      <c r="J123" s="11">
        <f t="shared" si="10"/>
        <v>384800000</v>
      </c>
      <c r="K123" s="11">
        <f t="shared" si="11"/>
        <v>-384800000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467</v>
      </c>
      <c r="H124" s="11">
        <f t="shared" si="8"/>
        <v>0</v>
      </c>
      <c r="I124" s="11">
        <f t="shared" si="13"/>
        <v>-1401000000</v>
      </c>
      <c r="J124" s="11">
        <f t="shared" si="10"/>
        <v>0</v>
      </c>
      <c r="K124" s="11">
        <f t="shared" si="11"/>
        <v>-1401000000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452</v>
      </c>
      <c r="H125" s="11">
        <f t="shared" si="8"/>
        <v>1</v>
      </c>
      <c r="I125" s="11">
        <f t="shared" si="13"/>
        <v>180720210</v>
      </c>
      <c r="J125" s="11">
        <f t="shared" si="10"/>
        <v>53612625</v>
      </c>
      <c r="K125" s="11">
        <f t="shared" si="11"/>
        <v>127107585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452</v>
      </c>
      <c r="H126" s="11">
        <f t="shared" si="8"/>
        <v>1</v>
      </c>
      <c r="I126" s="11">
        <f t="shared" si="13"/>
        <v>18942000000</v>
      </c>
      <c r="J126" s="11">
        <f t="shared" si="10"/>
        <v>0</v>
      </c>
      <c r="K126" s="11">
        <f t="shared" si="11"/>
        <v>18942000000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427</v>
      </c>
      <c r="H127" s="11">
        <f t="shared" si="8"/>
        <v>0</v>
      </c>
      <c r="I127" s="11">
        <f t="shared" si="13"/>
        <v>-2135000</v>
      </c>
      <c r="J127" s="11">
        <f t="shared" si="10"/>
        <v>0</v>
      </c>
      <c r="K127" s="11">
        <f t="shared" si="11"/>
        <v>-2135000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421</v>
      </c>
      <c r="H128" s="11">
        <f t="shared" si="8"/>
        <v>1</v>
      </c>
      <c r="I128" s="11">
        <f t="shared" si="13"/>
        <v>323977080</v>
      </c>
      <c r="J128" s="11">
        <f t="shared" si="10"/>
        <v>50692740</v>
      </c>
      <c r="K128" s="11">
        <f t="shared" si="11"/>
        <v>273284340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418</v>
      </c>
      <c r="H129" s="11">
        <f t="shared" si="8"/>
        <v>1</v>
      </c>
      <c r="I129" s="11">
        <f t="shared" si="13"/>
        <v>1042500000</v>
      </c>
      <c r="J129" s="11">
        <f t="shared" si="10"/>
        <v>0</v>
      </c>
      <c r="K129" s="11">
        <f t="shared" si="11"/>
        <v>1042500000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404</v>
      </c>
      <c r="H130" s="11">
        <f t="shared" si="8"/>
        <v>0</v>
      </c>
      <c r="I130" s="11">
        <f t="shared" si="13"/>
        <v>-404000000</v>
      </c>
      <c r="J130" s="11">
        <f t="shared" si="10"/>
        <v>-404000000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399</v>
      </c>
      <c r="H131" s="11">
        <f t="shared" si="8"/>
        <v>0</v>
      </c>
      <c r="I131" s="11">
        <f t="shared" si="13"/>
        <v>-19950000000</v>
      </c>
      <c r="J131" s="11">
        <f t="shared" si="10"/>
        <v>0</v>
      </c>
      <c r="K131" s="11">
        <f t="shared" si="11"/>
        <v>-19950000000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391</v>
      </c>
      <c r="H132" s="11">
        <f t="shared" ref="H132:H266" si="15">IF(B132&gt;0,1,0)</f>
        <v>1</v>
      </c>
      <c r="I132" s="11">
        <f t="shared" si="13"/>
        <v>239571930</v>
      </c>
      <c r="J132" s="11">
        <f t="shared" ref="J132:J206" si="16">C132*(G132-H132)</f>
        <v>41328690</v>
      </c>
      <c r="K132" s="11">
        <f t="shared" ref="K132:K266" si="17">D132*(G132-H132)</f>
        <v>198243240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387</v>
      </c>
      <c r="H133" s="11">
        <f t="shared" si="15"/>
        <v>0</v>
      </c>
      <c r="I133" s="11">
        <f t="shared" si="13"/>
        <v>-468540900</v>
      </c>
      <c r="J133" s="11">
        <f t="shared" si="16"/>
        <v>0</v>
      </c>
      <c r="K133" s="11">
        <f t="shared" si="17"/>
        <v>-468540900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378</v>
      </c>
      <c r="H134" s="11">
        <f t="shared" si="15"/>
        <v>0</v>
      </c>
      <c r="I134" s="11">
        <f t="shared" si="13"/>
        <v>-24570000</v>
      </c>
      <c r="J134" s="11">
        <f t="shared" si="16"/>
        <v>0</v>
      </c>
      <c r="K134" s="11">
        <f t="shared" si="17"/>
        <v>-24570000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378</v>
      </c>
      <c r="H135" s="11">
        <f t="shared" si="15"/>
        <v>0</v>
      </c>
      <c r="I135" s="11">
        <f t="shared" si="13"/>
        <v>-12209400</v>
      </c>
      <c r="J135" s="11">
        <f t="shared" si="16"/>
        <v>0</v>
      </c>
      <c r="K135" s="11">
        <f t="shared" si="17"/>
        <v>-12209400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370</v>
      </c>
      <c r="H136" s="11">
        <f t="shared" si="15"/>
        <v>0</v>
      </c>
      <c r="I136" s="11">
        <f t="shared" si="13"/>
        <v>-370000000</v>
      </c>
      <c r="J136" s="11">
        <f t="shared" si="16"/>
        <v>-370000000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361</v>
      </c>
      <c r="H137" s="11">
        <f t="shared" si="15"/>
        <v>1</v>
      </c>
      <c r="I137" s="11">
        <f t="shared" si="13"/>
        <v>104714280</v>
      </c>
      <c r="J137" s="11">
        <f t="shared" si="16"/>
        <v>35049240</v>
      </c>
      <c r="K137" s="11">
        <f t="shared" si="17"/>
        <v>69665040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344</v>
      </c>
      <c r="H138" s="11">
        <f t="shared" si="15"/>
        <v>0</v>
      </c>
      <c r="I138" s="11">
        <f t="shared" si="13"/>
        <v>-344172000</v>
      </c>
      <c r="J138" s="11">
        <f t="shared" si="16"/>
        <v>-344172000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332</v>
      </c>
      <c r="H139" s="11">
        <f t="shared" si="15"/>
        <v>1</v>
      </c>
      <c r="I139" s="11">
        <f t="shared" si="13"/>
        <v>93421440</v>
      </c>
      <c r="J139" s="11">
        <f t="shared" si="16"/>
        <v>29395117</v>
      </c>
      <c r="K139" s="11">
        <f t="shared" si="17"/>
        <v>64026323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329</v>
      </c>
      <c r="H140" s="11">
        <f t="shared" si="15"/>
        <v>1</v>
      </c>
      <c r="I140" s="11">
        <f t="shared" si="13"/>
        <v>492000000</v>
      </c>
      <c r="J140" s="11">
        <f t="shared" si="16"/>
        <v>0</v>
      </c>
      <c r="K140" s="11">
        <f t="shared" si="17"/>
        <v>492000000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316</v>
      </c>
      <c r="H141" s="11">
        <f t="shared" si="15"/>
        <v>0</v>
      </c>
      <c r="I141" s="11">
        <f t="shared" si="13"/>
        <v>0</v>
      </c>
      <c r="J141" s="11">
        <f t="shared" si="16"/>
        <v>-316000000</v>
      </c>
      <c r="K141" s="11">
        <f t="shared" si="17"/>
        <v>316000000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302</v>
      </c>
      <c r="H142" s="11">
        <f t="shared" si="15"/>
        <v>1</v>
      </c>
      <c r="I142" s="11">
        <f t="shared" si="13"/>
        <v>87558793</v>
      </c>
      <c r="J142" s="11">
        <f t="shared" si="16"/>
        <v>24387622</v>
      </c>
      <c r="K142" s="11">
        <f t="shared" si="17"/>
        <v>63171171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282</v>
      </c>
      <c r="H143" s="11">
        <f t="shared" si="15"/>
        <v>0</v>
      </c>
      <c r="I143" s="11">
        <f t="shared" si="13"/>
        <v>0</v>
      </c>
      <c r="J143" s="11">
        <f t="shared" si="16"/>
        <v>-282000000</v>
      </c>
      <c r="K143" s="11">
        <f t="shared" si="17"/>
        <v>282000000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272</v>
      </c>
      <c r="H144" s="11">
        <f t="shared" si="15"/>
        <v>1</v>
      </c>
      <c r="I144" s="11">
        <f t="shared" si="13"/>
        <v>79904892</v>
      </c>
      <c r="J144" s="11">
        <f t="shared" si="16"/>
        <v>20232047</v>
      </c>
      <c r="K144" s="11">
        <f t="shared" si="17"/>
        <v>59672845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257</v>
      </c>
      <c r="H145" s="11">
        <f t="shared" si="15"/>
        <v>0</v>
      </c>
      <c r="I145" s="11">
        <f t="shared" si="13"/>
        <v>-2570000</v>
      </c>
      <c r="J145" s="11">
        <f t="shared" si="16"/>
        <v>-1285000</v>
      </c>
      <c r="K145" s="11">
        <f t="shared" si="17"/>
        <v>-1285000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252</v>
      </c>
      <c r="H146" s="11">
        <f t="shared" si="15"/>
        <v>0</v>
      </c>
      <c r="I146" s="11">
        <f t="shared" si="13"/>
        <v>-252126000</v>
      </c>
      <c r="J146" s="11">
        <f t="shared" si="16"/>
        <v>-252126000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246</v>
      </c>
      <c r="H147" s="11">
        <f t="shared" si="15"/>
        <v>0</v>
      </c>
      <c r="I147" s="11">
        <f t="shared" si="13"/>
        <v>-6642000000</v>
      </c>
      <c r="J147" s="11">
        <f t="shared" si="16"/>
        <v>0</v>
      </c>
      <c r="K147" s="11">
        <f t="shared" si="17"/>
        <v>-6642000000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243</v>
      </c>
      <c r="H148" s="11">
        <f t="shared" si="15"/>
        <v>1</v>
      </c>
      <c r="I148" s="11">
        <f t="shared" si="13"/>
        <v>61089512</v>
      </c>
      <c r="J148" s="11">
        <f t="shared" si="16"/>
        <v>15853420</v>
      </c>
      <c r="K148" s="11">
        <f t="shared" si="17"/>
        <v>45236092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235</v>
      </c>
      <c r="H149" s="11">
        <f t="shared" si="15"/>
        <v>1</v>
      </c>
      <c r="I149" s="11">
        <f t="shared" si="13"/>
        <v>12261600000</v>
      </c>
      <c r="J149" s="11">
        <f t="shared" si="16"/>
        <v>0</v>
      </c>
      <c r="K149" s="11">
        <f t="shared" si="17"/>
        <v>12261600000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228</v>
      </c>
      <c r="H150" s="11">
        <f t="shared" si="15"/>
        <v>0</v>
      </c>
      <c r="I150" s="11">
        <f t="shared" si="13"/>
        <v>-11856000000</v>
      </c>
      <c r="J150" s="11">
        <f t="shared" si="16"/>
        <v>0</v>
      </c>
      <c r="K150" s="11">
        <f t="shared" si="17"/>
        <v>-11856000000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223</v>
      </c>
      <c r="H151" s="99">
        <f t="shared" si="15"/>
        <v>0</v>
      </c>
      <c r="I151" s="99">
        <f t="shared" si="13"/>
        <v>-1784000000</v>
      </c>
      <c r="J151" s="99">
        <f t="shared" si="16"/>
        <v>-1510185213</v>
      </c>
      <c r="K151" s="11">
        <f t="shared" si="17"/>
        <v>-273814787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223</v>
      </c>
      <c r="H152" s="99">
        <f t="shared" si="15"/>
        <v>0</v>
      </c>
      <c r="I152" s="99">
        <f t="shared" si="13"/>
        <v>-6964290</v>
      </c>
      <c r="J152" s="99">
        <f t="shared" si="16"/>
        <v>0</v>
      </c>
      <c r="K152" s="99">
        <f t="shared" si="17"/>
        <v>-6964290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212</v>
      </c>
      <c r="H153" s="99">
        <f t="shared" si="15"/>
        <v>1</v>
      </c>
      <c r="I153" s="99">
        <f t="shared" si="13"/>
        <v>28503357</v>
      </c>
      <c r="J153" s="99">
        <f t="shared" si="16"/>
        <v>8678430</v>
      </c>
      <c r="K153" s="99">
        <f t="shared" si="17"/>
        <v>19824927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209</v>
      </c>
      <c r="H154" s="99">
        <f t="shared" si="15"/>
        <v>1</v>
      </c>
      <c r="I154" s="99">
        <f t="shared" si="13"/>
        <v>1419409056</v>
      </c>
      <c r="J154" s="99">
        <f t="shared" si="16"/>
        <v>1419409056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204</v>
      </c>
      <c r="H155" s="99">
        <f t="shared" si="15"/>
        <v>0</v>
      </c>
      <c r="I155" s="99">
        <f t="shared" si="13"/>
        <v>-40800000</v>
      </c>
      <c r="J155" s="99">
        <f t="shared" si="16"/>
        <v>0</v>
      </c>
      <c r="K155" s="99">
        <f t="shared" si="17"/>
        <v>-40800000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204</v>
      </c>
      <c r="H156" s="99">
        <f t="shared" si="15"/>
        <v>0</v>
      </c>
      <c r="I156" s="99">
        <f t="shared" si="13"/>
        <v>-50559360</v>
      </c>
      <c r="J156" s="99">
        <f t="shared" si="16"/>
        <v>0</v>
      </c>
      <c r="K156" s="99">
        <f t="shared" si="17"/>
        <v>-50559360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203</v>
      </c>
      <c r="H157" s="99">
        <f t="shared" si="15"/>
        <v>0</v>
      </c>
      <c r="I157" s="99">
        <f t="shared" si="13"/>
        <v>-32955020</v>
      </c>
      <c r="J157" s="99">
        <f t="shared" si="16"/>
        <v>0</v>
      </c>
      <c r="K157" s="99">
        <f t="shared" si="17"/>
        <v>-32955020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203</v>
      </c>
      <c r="H158" s="99">
        <f t="shared" si="15"/>
        <v>0</v>
      </c>
      <c r="I158" s="99">
        <f t="shared" si="13"/>
        <v>-609182700</v>
      </c>
      <c r="J158" s="99">
        <f t="shared" si="16"/>
        <v>0</v>
      </c>
      <c r="K158" s="99">
        <f t="shared" si="17"/>
        <v>-609182700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201</v>
      </c>
      <c r="H159" s="99">
        <f t="shared" si="15"/>
        <v>0</v>
      </c>
      <c r="I159" s="99">
        <f t="shared" si="13"/>
        <v>-201100500</v>
      </c>
      <c r="J159" s="99">
        <f t="shared" si="16"/>
        <v>0</v>
      </c>
      <c r="K159" s="99">
        <f t="shared" si="17"/>
        <v>-201100500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197</v>
      </c>
      <c r="H160" s="99">
        <f t="shared" si="15"/>
        <v>0</v>
      </c>
      <c r="I160" s="99">
        <f t="shared" si="13"/>
        <v>-19700000</v>
      </c>
      <c r="J160" s="99">
        <f t="shared" si="16"/>
        <v>0</v>
      </c>
      <c r="K160" s="99">
        <f t="shared" si="17"/>
        <v>-19700000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196</v>
      </c>
      <c r="H161" s="99">
        <f t="shared" si="15"/>
        <v>0</v>
      </c>
      <c r="I161" s="99">
        <f t="shared" si="13"/>
        <v>-392000000</v>
      </c>
      <c r="J161" s="99">
        <f t="shared" si="16"/>
        <v>0</v>
      </c>
      <c r="K161" s="99">
        <f t="shared" si="17"/>
        <v>-392000000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196</v>
      </c>
      <c r="H162" s="99">
        <f t="shared" si="15"/>
        <v>0</v>
      </c>
      <c r="I162" s="99">
        <f t="shared" si="13"/>
        <v>-196098000</v>
      </c>
      <c r="J162" s="99">
        <f t="shared" si="16"/>
        <v>0</v>
      </c>
      <c r="K162" s="99">
        <f t="shared" si="17"/>
        <v>-196098000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193</v>
      </c>
      <c r="H163" s="99">
        <f t="shared" si="15"/>
        <v>0</v>
      </c>
      <c r="I163" s="99">
        <f t="shared" si="13"/>
        <v>-965000</v>
      </c>
      <c r="J163" s="99">
        <f t="shared" si="16"/>
        <v>0</v>
      </c>
      <c r="K163" s="99">
        <f t="shared" si="17"/>
        <v>-965000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183</v>
      </c>
      <c r="H164" s="99">
        <f t="shared" si="15"/>
        <v>1</v>
      </c>
      <c r="I164" s="99">
        <f t="shared" si="13"/>
        <v>546000000</v>
      </c>
      <c r="J164" s="99">
        <f t="shared" si="16"/>
        <v>0</v>
      </c>
      <c r="K164" s="99">
        <f t="shared" si="17"/>
        <v>546000000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182</v>
      </c>
      <c r="H165" s="99">
        <f t="shared" si="15"/>
        <v>1</v>
      </c>
      <c r="I165" s="99">
        <f t="shared" si="13"/>
        <v>543000000</v>
      </c>
      <c r="J165" s="99">
        <f t="shared" si="16"/>
        <v>0</v>
      </c>
      <c r="K165" s="99">
        <f t="shared" si="17"/>
        <v>543000000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181</v>
      </c>
      <c r="H166" s="99">
        <f t="shared" si="15"/>
        <v>1</v>
      </c>
      <c r="I166" s="99">
        <f t="shared" si="13"/>
        <v>3656520</v>
      </c>
      <c r="J166" s="99">
        <f t="shared" si="16"/>
        <v>10771560</v>
      </c>
      <c r="K166" s="99">
        <f t="shared" si="17"/>
        <v>-7115040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176</v>
      </c>
      <c r="H167" s="99">
        <f t="shared" si="15"/>
        <v>0</v>
      </c>
      <c r="I167" s="99">
        <f t="shared" si="13"/>
        <v>-528158400</v>
      </c>
      <c r="J167" s="99">
        <f t="shared" si="16"/>
        <v>0</v>
      </c>
      <c r="K167" s="99">
        <f t="shared" si="17"/>
        <v>-528158400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158</v>
      </c>
      <c r="H168" s="99">
        <f t="shared" si="15"/>
        <v>0</v>
      </c>
      <c r="I168" s="99">
        <f t="shared" si="13"/>
        <v>-474142200</v>
      </c>
      <c r="J168" s="99">
        <f t="shared" si="16"/>
        <v>0</v>
      </c>
      <c r="K168" s="99">
        <f t="shared" si="17"/>
        <v>-474142200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150</v>
      </c>
      <c r="H169" s="99">
        <f t="shared" si="15"/>
        <v>1</v>
      </c>
      <c r="I169" s="99">
        <f t="shared" si="13"/>
        <v>3234045</v>
      </c>
      <c r="J169" s="99">
        <f t="shared" si="16"/>
        <v>10208735</v>
      </c>
      <c r="K169" s="99">
        <f t="shared" si="17"/>
        <v>-6974690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126</v>
      </c>
      <c r="H170" s="99">
        <f t="shared" si="15"/>
        <v>1</v>
      </c>
      <c r="I170" s="99">
        <f t="shared" si="13"/>
        <v>625000000</v>
      </c>
      <c r="J170" s="99">
        <f t="shared" si="16"/>
        <v>0</v>
      </c>
      <c r="K170" s="99">
        <f t="shared" si="17"/>
        <v>625000000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125</v>
      </c>
      <c r="H171" s="99">
        <f t="shared" si="15"/>
        <v>0</v>
      </c>
      <c r="I171" s="99">
        <f t="shared" si="13"/>
        <v>-625000000</v>
      </c>
      <c r="J171" s="99">
        <f t="shared" si="16"/>
        <v>0</v>
      </c>
      <c r="K171" s="99">
        <f t="shared" si="17"/>
        <v>-625000000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119</v>
      </c>
      <c r="H172" s="99">
        <f t="shared" si="15"/>
        <v>1</v>
      </c>
      <c r="I172" s="99">
        <f t="shared" si="13"/>
        <v>58528</v>
      </c>
      <c r="J172" s="99">
        <f t="shared" si="16"/>
        <v>7396358</v>
      </c>
      <c r="K172" s="99">
        <f t="shared" si="17"/>
        <v>-7337830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118</v>
      </c>
      <c r="H173" s="99">
        <f t="shared" si="15"/>
        <v>1</v>
      </c>
      <c r="I173" s="99">
        <f t="shared" si="13"/>
        <v>91845000</v>
      </c>
      <c r="J173" s="99">
        <f t="shared" si="16"/>
        <v>0</v>
      </c>
      <c r="K173" s="99">
        <f t="shared" si="17"/>
        <v>91845000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107</v>
      </c>
      <c r="H174" s="99">
        <f t="shared" si="15"/>
        <v>0</v>
      </c>
      <c r="I174" s="99">
        <f t="shared" si="13"/>
        <v>-3424000</v>
      </c>
      <c r="J174" s="99">
        <f t="shared" si="16"/>
        <v>0</v>
      </c>
      <c r="K174" s="99">
        <f t="shared" si="17"/>
        <v>-3424000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105</v>
      </c>
      <c r="H175" s="99">
        <f t="shared" si="15"/>
        <v>0</v>
      </c>
      <c r="I175" s="99">
        <f t="shared" si="13"/>
        <v>-78750000</v>
      </c>
      <c r="J175" s="99">
        <f t="shared" si="16"/>
        <v>0</v>
      </c>
      <c r="K175" s="99">
        <f t="shared" si="17"/>
        <v>-78750000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96</v>
      </c>
      <c r="H176" s="99">
        <f t="shared" si="15"/>
        <v>0</v>
      </c>
      <c r="I176" s="99">
        <f t="shared" si="13"/>
        <v>-902016</v>
      </c>
      <c r="J176" s="99">
        <f t="shared" si="16"/>
        <v>0</v>
      </c>
      <c r="K176" s="99">
        <f t="shared" si="17"/>
        <v>-902016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95</v>
      </c>
      <c r="H177" s="99">
        <f t="shared" si="15"/>
        <v>0</v>
      </c>
      <c r="I177" s="99">
        <f t="shared" si="13"/>
        <v>-4113500</v>
      </c>
      <c r="J177" s="99">
        <f t="shared" si="16"/>
        <v>0</v>
      </c>
      <c r="K177" s="99">
        <f t="shared" si="17"/>
        <v>-4113500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92</v>
      </c>
      <c r="H178" s="99">
        <f t="shared" si="15"/>
        <v>1</v>
      </c>
      <c r="I178" s="99">
        <f t="shared" si="13"/>
        <v>32760000</v>
      </c>
      <c r="J178" s="99">
        <f t="shared" si="16"/>
        <v>0</v>
      </c>
      <c r="K178" s="99">
        <f t="shared" si="17"/>
        <v>32760000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90</v>
      </c>
      <c r="H179" s="99">
        <f t="shared" si="15"/>
        <v>1</v>
      </c>
      <c r="I179" s="99">
        <f t="shared" si="13"/>
        <v>267000000</v>
      </c>
      <c r="J179" s="99">
        <f t="shared" si="16"/>
        <v>0</v>
      </c>
      <c r="K179" s="99">
        <f t="shared" si="17"/>
        <v>267000000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90</v>
      </c>
      <c r="H180" s="99">
        <f t="shared" si="15"/>
        <v>0</v>
      </c>
      <c r="I180" s="99">
        <f t="shared" si="13"/>
        <v>-1084500</v>
      </c>
      <c r="J180" s="99">
        <f t="shared" si="16"/>
        <v>0</v>
      </c>
      <c r="K180" s="99">
        <f t="shared" si="17"/>
        <v>-1084500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88</v>
      </c>
      <c r="H181" s="99">
        <f t="shared" si="15"/>
        <v>1</v>
      </c>
      <c r="I181" s="99">
        <f t="shared" si="13"/>
        <v>261000000</v>
      </c>
      <c r="J181" s="99">
        <f t="shared" si="16"/>
        <v>0</v>
      </c>
      <c r="K181" s="99">
        <f t="shared" si="17"/>
        <v>261000000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86</v>
      </c>
      <c r="H182" s="99">
        <f t="shared" si="15"/>
        <v>0</v>
      </c>
      <c r="I182" s="99">
        <f t="shared" si="13"/>
        <v>-3078800</v>
      </c>
      <c r="J182" s="99">
        <f t="shared" si="16"/>
        <v>0</v>
      </c>
      <c r="K182" s="99">
        <f t="shared" si="17"/>
        <v>-3078800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85</v>
      </c>
      <c r="H183" s="99">
        <f t="shared" si="15"/>
        <v>1</v>
      </c>
      <c r="I183" s="99">
        <f t="shared" si="13"/>
        <v>302400000</v>
      </c>
      <c r="J183" s="99">
        <f t="shared" si="16"/>
        <v>0</v>
      </c>
      <c r="K183" s="99">
        <f t="shared" si="17"/>
        <v>302400000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85</v>
      </c>
      <c r="H184" s="99">
        <f t="shared" si="15"/>
        <v>0</v>
      </c>
      <c r="I184" s="99">
        <f t="shared" si="13"/>
        <v>-2837045</v>
      </c>
      <c r="J184" s="99">
        <f t="shared" si="16"/>
        <v>0</v>
      </c>
      <c r="K184" s="99">
        <f t="shared" si="17"/>
        <v>-2837045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82</v>
      </c>
      <c r="H185" s="99">
        <f t="shared" si="15"/>
        <v>0</v>
      </c>
      <c r="I185" s="99">
        <f t="shared" si="13"/>
        <v>-803600000</v>
      </c>
      <c r="J185" s="99">
        <f t="shared" si="16"/>
        <v>0</v>
      </c>
      <c r="K185" s="99">
        <f t="shared" si="17"/>
        <v>-803600000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82</v>
      </c>
      <c r="H186" s="99">
        <f t="shared" si="15"/>
        <v>1</v>
      </c>
      <c r="I186" s="99">
        <f t="shared" si="13"/>
        <v>1458000000</v>
      </c>
      <c r="J186" s="99">
        <f t="shared" si="16"/>
        <v>0</v>
      </c>
      <c r="K186" s="99">
        <f t="shared" si="17"/>
        <v>1458000000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82</v>
      </c>
      <c r="H187" s="99">
        <f t="shared" si="15"/>
        <v>0</v>
      </c>
      <c r="I187" s="99">
        <f t="shared" si="13"/>
        <v>-738000000</v>
      </c>
      <c r="J187" s="99">
        <f t="shared" si="16"/>
        <v>0</v>
      </c>
      <c r="K187" s="99">
        <f t="shared" si="17"/>
        <v>-738000000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82</v>
      </c>
      <c r="H188" s="99">
        <f t="shared" si="15"/>
        <v>0</v>
      </c>
      <c r="I188" s="99">
        <f t="shared" si="13"/>
        <v>-951200</v>
      </c>
      <c r="J188" s="99">
        <f t="shared" si="16"/>
        <v>0</v>
      </c>
      <c r="K188" s="99">
        <f t="shared" si="17"/>
        <v>-951200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82</v>
      </c>
      <c r="H189" s="99">
        <f t="shared" si="15"/>
        <v>0</v>
      </c>
      <c r="I189" s="99">
        <f t="shared" si="13"/>
        <v>-270954814</v>
      </c>
      <c r="J189" s="99">
        <f t="shared" si="16"/>
        <v>0</v>
      </c>
      <c r="K189" s="99">
        <f t="shared" si="17"/>
        <v>-270954814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81</v>
      </c>
      <c r="H190" s="99">
        <f t="shared" si="15"/>
        <v>0</v>
      </c>
      <c r="I190" s="99">
        <f t="shared" si="13"/>
        <v>-243072900</v>
      </c>
      <c r="J190" s="99">
        <f t="shared" si="16"/>
        <v>0</v>
      </c>
      <c r="K190" s="99">
        <f t="shared" si="17"/>
        <v>-243072900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80</v>
      </c>
      <c r="H191" s="99">
        <f t="shared" si="15"/>
        <v>0</v>
      </c>
      <c r="I191" s="99">
        <f t="shared" si="13"/>
        <v>-220872000</v>
      </c>
      <c r="J191" s="99">
        <f t="shared" si="16"/>
        <v>0</v>
      </c>
      <c r="K191" s="99">
        <f t="shared" si="17"/>
        <v>-220872000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75</v>
      </c>
      <c r="H192" s="99">
        <f t="shared" si="15"/>
        <v>1</v>
      </c>
      <c r="I192" s="99">
        <f t="shared" si="13"/>
        <v>74000000</v>
      </c>
      <c r="J192" s="99">
        <f t="shared" si="16"/>
        <v>0</v>
      </c>
      <c r="K192" s="99">
        <f t="shared" si="17"/>
        <v>74000000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74</v>
      </c>
      <c r="H193" s="99">
        <f t="shared" si="15"/>
        <v>0</v>
      </c>
      <c r="I193" s="99">
        <f t="shared" si="13"/>
        <v>-1110000</v>
      </c>
      <c r="J193" s="99">
        <f t="shared" si="16"/>
        <v>0</v>
      </c>
      <c r="K193" s="99">
        <f t="shared" si="17"/>
        <v>-1110000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72</v>
      </c>
      <c r="H194" s="99">
        <f t="shared" si="15"/>
        <v>0</v>
      </c>
      <c r="I194" s="99">
        <f t="shared" si="13"/>
        <v>-71280000</v>
      </c>
      <c r="J194" s="99">
        <f t="shared" si="16"/>
        <v>0</v>
      </c>
      <c r="K194" s="99">
        <f t="shared" si="17"/>
        <v>-71280000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72</v>
      </c>
      <c r="H195" s="99">
        <f t="shared" si="15"/>
        <v>1</v>
      </c>
      <c r="I195" s="99">
        <f t="shared" si="13"/>
        <v>55593000</v>
      </c>
      <c r="J195" s="99">
        <f t="shared" si="16"/>
        <v>0</v>
      </c>
      <c r="K195" s="99">
        <f t="shared" si="17"/>
        <v>55593000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70</v>
      </c>
      <c r="H196" s="99">
        <f t="shared" si="15"/>
        <v>0</v>
      </c>
      <c r="I196" s="99">
        <f t="shared" si="13"/>
        <v>-52535000</v>
      </c>
      <c r="J196" s="99">
        <f t="shared" si="16"/>
        <v>0</v>
      </c>
      <c r="K196" s="99">
        <f t="shared" si="17"/>
        <v>-52535000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68</v>
      </c>
      <c r="H197" s="99">
        <f t="shared" si="15"/>
        <v>1</v>
      </c>
      <c r="I197" s="99">
        <f t="shared" si="13"/>
        <v>46900000</v>
      </c>
      <c r="J197" s="99">
        <f t="shared" si="16"/>
        <v>0</v>
      </c>
      <c r="K197" s="99">
        <f t="shared" si="17"/>
        <v>46900000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68</v>
      </c>
      <c r="H198" s="99">
        <f t="shared" si="15"/>
        <v>0</v>
      </c>
      <c r="I198" s="99">
        <f t="shared" si="13"/>
        <v>-6732000</v>
      </c>
      <c r="J198" s="99">
        <f t="shared" si="16"/>
        <v>0</v>
      </c>
      <c r="K198" s="99">
        <f t="shared" si="17"/>
        <v>-6732000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67</v>
      </c>
      <c r="H199" s="99">
        <f t="shared" si="15"/>
        <v>0</v>
      </c>
      <c r="I199" s="99">
        <f t="shared" si="13"/>
        <v>-13785250</v>
      </c>
      <c r="J199" s="99">
        <f t="shared" si="16"/>
        <v>0</v>
      </c>
      <c r="K199" s="99">
        <f t="shared" si="17"/>
        <v>-13785250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67</v>
      </c>
      <c r="H200" s="99">
        <f t="shared" si="15"/>
        <v>0</v>
      </c>
      <c r="I200" s="99">
        <f t="shared" si="13"/>
        <v>-6365000</v>
      </c>
      <c r="J200" s="99">
        <f t="shared" si="16"/>
        <v>0</v>
      </c>
      <c r="K200" s="99">
        <f t="shared" si="17"/>
        <v>-6365000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64</v>
      </c>
      <c r="H201" s="99">
        <f t="shared" si="15"/>
        <v>1</v>
      </c>
      <c r="I201" s="99">
        <f t="shared" si="13"/>
        <v>3064950000</v>
      </c>
      <c r="J201" s="99">
        <f t="shared" si="16"/>
        <v>0</v>
      </c>
      <c r="K201" s="99">
        <f t="shared" si="17"/>
        <v>3064950000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64</v>
      </c>
      <c r="H202" s="99">
        <f t="shared" si="15"/>
        <v>0</v>
      </c>
      <c r="I202" s="99">
        <f t="shared" si="13"/>
        <v>-192057600</v>
      </c>
      <c r="J202" s="99">
        <f t="shared" si="16"/>
        <v>0</v>
      </c>
      <c r="K202" s="99">
        <f t="shared" si="17"/>
        <v>-192057600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64</v>
      </c>
      <c r="H203" s="99">
        <f t="shared" si="15"/>
        <v>0</v>
      </c>
      <c r="I203" s="99">
        <f t="shared" si="13"/>
        <v>-320000</v>
      </c>
      <c r="J203" s="99">
        <f t="shared" si="16"/>
        <v>0</v>
      </c>
      <c r="K203" s="99">
        <f t="shared" si="17"/>
        <v>-320000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64</v>
      </c>
      <c r="H204" s="99">
        <f t="shared" si="15"/>
        <v>0</v>
      </c>
      <c r="I204" s="99">
        <f t="shared" si="13"/>
        <v>-2144000000</v>
      </c>
      <c r="J204" s="99">
        <f t="shared" si="16"/>
        <v>0</v>
      </c>
      <c r="K204" s="99">
        <f t="shared" si="17"/>
        <v>-2144000000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63</v>
      </c>
      <c r="H205" s="99">
        <f t="shared" si="15"/>
        <v>0</v>
      </c>
      <c r="I205" s="99">
        <f t="shared" si="13"/>
        <v>-783405000</v>
      </c>
      <c r="J205" s="99">
        <f t="shared" si="16"/>
        <v>0</v>
      </c>
      <c r="K205" s="99">
        <f t="shared" si="17"/>
        <v>-783405000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60</v>
      </c>
      <c r="H206" s="99">
        <f t="shared" si="15"/>
        <v>0</v>
      </c>
      <c r="I206" s="99">
        <f t="shared" si="13"/>
        <v>-1110000</v>
      </c>
      <c r="J206" s="99">
        <f t="shared" si="16"/>
        <v>0</v>
      </c>
      <c r="K206" s="99">
        <f t="shared" si="17"/>
        <v>-1110000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58</v>
      </c>
      <c r="H207" s="99">
        <f t="shared" si="15"/>
        <v>1</v>
      </c>
      <c r="I207" s="99">
        <f t="shared" si="13"/>
        <v>825360</v>
      </c>
      <c r="J207" s="99">
        <f t="shared" ref="J207:J266" si="20">C207*(G207-H207)</f>
        <v>4039818</v>
      </c>
      <c r="K207" s="99">
        <f t="shared" si="17"/>
        <v>-3214458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57</v>
      </c>
      <c r="H208" s="99">
        <f t="shared" si="15"/>
        <v>1</v>
      </c>
      <c r="I208" s="99">
        <f t="shared" si="13"/>
        <v>46480000</v>
      </c>
      <c r="J208" s="99">
        <f t="shared" si="20"/>
        <v>0</v>
      </c>
      <c r="K208" s="99">
        <f t="shared" si="17"/>
        <v>46480000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55</v>
      </c>
      <c r="H209" s="99">
        <f t="shared" si="15"/>
        <v>0</v>
      </c>
      <c r="I209" s="99">
        <f t="shared" si="13"/>
        <v>-2884200</v>
      </c>
      <c r="J209" s="99">
        <f t="shared" si="20"/>
        <v>0</v>
      </c>
      <c r="K209" s="99">
        <f t="shared" si="17"/>
        <v>-2884200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54</v>
      </c>
      <c r="H210" s="99">
        <f t="shared" si="15"/>
        <v>0</v>
      </c>
      <c r="I210" s="99">
        <f t="shared" si="13"/>
        <v>-2759400</v>
      </c>
      <c r="J210" s="99">
        <f t="shared" si="20"/>
        <v>0</v>
      </c>
      <c r="K210" s="99">
        <f t="shared" si="17"/>
        <v>-2759400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53</v>
      </c>
      <c r="H211" s="99">
        <f t="shared" si="15"/>
        <v>0</v>
      </c>
      <c r="I211" s="99">
        <f t="shared" si="13"/>
        <v>-10600000</v>
      </c>
      <c r="J211" s="99">
        <f t="shared" si="20"/>
        <v>0</v>
      </c>
      <c r="K211" s="99">
        <f t="shared" si="17"/>
        <v>-10600000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52</v>
      </c>
      <c r="H212" s="99">
        <f t="shared" si="15"/>
        <v>0</v>
      </c>
      <c r="I212" s="99">
        <f t="shared" si="13"/>
        <v>-1456000</v>
      </c>
      <c r="J212" s="99">
        <f t="shared" si="20"/>
        <v>0</v>
      </c>
      <c r="K212" s="99">
        <f t="shared" si="17"/>
        <v>-1456000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51</v>
      </c>
      <c r="H213" s="99">
        <f t="shared" si="15"/>
        <v>0</v>
      </c>
      <c r="I213" s="99">
        <f t="shared" si="13"/>
        <v>-3014100</v>
      </c>
      <c r="J213" s="99">
        <f t="shared" si="20"/>
        <v>0</v>
      </c>
      <c r="K213" s="99">
        <f t="shared" si="17"/>
        <v>-3014100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50</v>
      </c>
      <c r="H214" s="99">
        <f t="shared" si="15"/>
        <v>0</v>
      </c>
      <c r="I214" s="99">
        <f t="shared" si="13"/>
        <v>-1500000</v>
      </c>
      <c r="J214" s="99">
        <f t="shared" si="20"/>
        <v>0</v>
      </c>
      <c r="K214" s="99">
        <f t="shared" si="17"/>
        <v>-1500000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50</v>
      </c>
      <c r="H215" s="99">
        <f t="shared" si="15"/>
        <v>0</v>
      </c>
      <c r="I215" s="99">
        <f t="shared" si="13"/>
        <v>-8900000</v>
      </c>
      <c r="J215" s="99">
        <f t="shared" si="20"/>
        <v>0</v>
      </c>
      <c r="K215" s="99">
        <f t="shared" si="17"/>
        <v>-8900000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49</v>
      </c>
      <c r="H216" s="99">
        <f t="shared" si="15"/>
        <v>0</v>
      </c>
      <c r="I216" s="99">
        <f t="shared" si="13"/>
        <v>-4684890</v>
      </c>
      <c r="J216" s="99">
        <f t="shared" si="20"/>
        <v>0</v>
      </c>
      <c r="K216" s="99">
        <f t="shared" si="17"/>
        <v>-4684890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46</v>
      </c>
      <c r="H217" s="99">
        <f t="shared" si="15"/>
        <v>0</v>
      </c>
      <c r="I217" s="99">
        <f t="shared" si="13"/>
        <v>-3864000</v>
      </c>
      <c r="J217" s="99">
        <f t="shared" si="20"/>
        <v>0</v>
      </c>
      <c r="K217" s="99">
        <f t="shared" si="17"/>
        <v>-3864000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44</v>
      </c>
      <c r="H218" s="99">
        <f t="shared" si="15"/>
        <v>0</v>
      </c>
      <c r="I218" s="99">
        <f t="shared" si="13"/>
        <v>-1452000</v>
      </c>
      <c r="J218" s="99">
        <f t="shared" si="20"/>
        <v>0</v>
      </c>
      <c r="K218" s="99">
        <f t="shared" si="17"/>
        <v>-1452000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41</v>
      </c>
      <c r="H219" s="99">
        <f t="shared" si="15"/>
        <v>1</v>
      </c>
      <c r="I219" s="99">
        <f t="shared" si="13"/>
        <v>61920000</v>
      </c>
      <c r="J219" s="99">
        <f t="shared" si="20"/>
        <v>0</v>
      </c>
      <c r="K219" s="99">
        <f t="shared" si="17"/>
        <v>61920000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40</v>
      </c>
      <c r="H220" s="99">
        <f t="shared" si="15"/>
        <v>0</v>
      </c>
      <c r="I220" s="99">
        <f t="shared" si="13"/>
        <v>-56028000</v>
      </c>
      <c r="J220" s="99">
        <f t="shared" si="20"/>
        <v>0</v>
      </c>
      <c r="K220" s="99">
        <f t="shared" si="17"/>
        <v>-56028000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40</v>
      </c>
      <c r="H221" s="99">
        <f t="shared" si="15"/>
        <v>0</v>
      </c>
      <c r="I221" s="99">
        <f t="shared" si="13"/>
        <v>-400000</v>
      </c>
      <c r="J221" s="99">
        <f t="shared" si="20"/>
        <v>0</v>
      </c>
      <c r="K221" s="99">
        <f t="shared" si="17"/>
        <v>-400000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40</v>
      </c>
      <c r="H222" s="99">
        <f t="shared" si="15"/>
        <v>0</v>
      </c>
      <c r="I222" s="99">
        <f t="shared" si="13"/>
        <v>-200000</v>
      </c>
      <c r="J222" s="99">
        <f t="shared" si="20"/>
        <v>-100000</v>
      </c>
      <c r="K222" s="99">
        <f t="shared" si="17"/>
        <v>-100000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34</v>
      </c>
      <c r="H223" s="99">
        <f t="shared" si="15"/>
        <v>0</v>
      </c>
      <c r="I223" s="99">
        <f t="shared" si="13"/>
        <v>-6460000</v>
      </c>
      <c r="J223" s="99">
        <f t="shared" si="20"/>
        <v>0</v>
      </c>
      <c r="K223" s="99">
        <f t="shared" si="17"/>
        <v>-6460000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27</v>
      </c>
      <c r="H224" s="99">
        <f t="shared" si="15"/>
        <v>1</v>
      </c>
      <c r="I224" s="99">
        <f t="shared" si="13"/>
        <v>49686</v>
      </c>
      <c r="J224" s="99">
        <f t="shared" si="20"/>
        <v>1689272</v>
      </c>
      <c r="K224" s="99">
        <f t="shared" si="17"/>
        <v>-1639586</v>
      </c>
      <c r="M224" t="s">
        <v>25</v>
      </c>
    </row>
    <row r="225" spans="1:13">
      <c r="A225" s="99" t="s">
        <v>4346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21</v>
      </c>
      <c r="H225" s="99">
        <f t="shared" si="15"/>
        <v>1</v>
      </c>
      <c r="I225" s="99">
        <f t="shared" si="13"/>
        <v>100000000</v>
      </c>
      <c r="J225" s="99">
        <f t="shared" si="20"/>
        <v>0</v>
      </c>
      <c r="K225" s="99">
        <f t="shared" si="17"/>
        <v>100000000</v>
      </c>
    </row>
    <row r="226" spans="1:13">
      <c r="A226" s="99" t="s">
        <v>4353</v>
      </c>
      <c r="B226" s="18">
        <v>-3200000</v>
      </c>
      <c r="C226" s="18">
        <v>0</v>
      </c>
      <c r="D226" s="18">
        <f t="shared" si="18"/>
        <v>-3200000</v>
      </c>
      <c r="E226" s="99" t="s">
        <v>4368</v>
      </c>
      <c r="F226" s="99">
        <v>0</v>
      </c>
      <c r="G226" s="36">
        <f t="shared" si="21"/>
        <v>20</v>
      </c>
      <c r="H226" s="99">
        <f t="shared" si="15"/>
        <v>0</v>
      </c>
      <c r="I226" s="99">
        <f t="shared" si="13"/>
        <v>-64000000</v>
      </c>
      <c r="J226" s="99">
        <f t="shared" si="20"/>
        <v>0</v>
      </c>
      <c r="K226" s="99">
        <f t="shared" si="17"/>
        <v>-64000000</v>
      </c>
    </row>
    <row r="227" spans="1:13">
      <c r="A227" s="99" t="s">
        <v>4353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20</v>
      </c>
      <c r="H227" s="99">
        <f t="shared" si="15"/>
        <v>1</v>
      </c>
      <c r="I227" s="99">
        <f t="shared" si="13"/>
        <v>45600000</v>
      </c>
      <c r="J227" s="99">
        <f t="shared" si="20"/>
        <v>0</v>
      </c>
      <c r="K227" s="99">
        <f t="shared" si="17"/>
        <v>45600000</v>
      </c>
    </row>
    <row r="228" spans="1:13">
      <c r="A228" s="99" t="s">
        <v>4385</v>
      </c>
      <c r="B228" s="18">
        <v>-50000</v>
      </c>
      <c r="C228" s="18">
        <v>0</v>
      </c>
      <c r="D228" s="18">
        <f t="shared" si="18"/>
        <v>-50000</v>
      </c>
      <c r="E228" s="99" t="s">
        <v>4389</v>
      </c>
      <c r="F228" s="99">
        <v>1</v>
      </c>
      <c r="G228" s="36">
        <f t="shared" si="21"/>
        <v>18</v>
      </c>
      <c r="H228" s="99">
        <f t="shared" si="15"/>
        <v>0</v>
      </c>
      <c r="I228" s="99">
        <f t="shared" si="13"/>
        <v>-900000</v>
      </c>
      <c r="J228" s="99">
        <f t="shared" si="20"/>
        <v>0</v>
      </c>
      <c r="K228" s="99">
        <f t="shared" si="17"/>
        <v>-900000</v>
      </c>
    </row>
    <row r="229" spans="1:13">
      <c r="A229" s="99" t="s">
        <v>4378</v>
      </c>
      <c r="B229" s="18">
        <v>-4100700</v>
      </c>
      <c r="C229" s="18">
        <v>0</v>
      </c>
      <c r="D229" s="18">
        <f t="shared" si="18"/>
        <v>-4100700</v>
      </c>
      <c r="E229" s="99" t="s">
        <v>4390</v>
      </c>
      <c r="F229" s="99">
        <v>4</v>
      </c>
      <c r="G229" s="36">
        <f t="shared" si="21"/>
        <v>17</v>
      </c>
      <c r="H229" s="99">
        <f t="shared" si="15"/>
        <v>0</v>
      </c>
      <c r="I229" s="99">
        <f t="shared" si="13"/>
        <v>-69711900</v>
      </c>
      <c r="J229" s="99">
        <f t="shared" si="20"/>
        <v>0</v>
      </c>
      <c r="K229" s="99">
        <f t="shared" si="17"/>
        <v>-69711900</v>
      </c>
    </row>
    <row r="230" spans="1:13">
      <c r="A230" s="99" t="s">
        <v>4399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13</v>
      </c>
      <c r="H230" s="99">
        <f t="shared" si="15"/>
        <v>1</v>
      </c>
      <c r="I230" s="99">
        <f t="shared" si="13"/>
        <v>116400000</v>
      </c>
      <c r="J230" s="99">
        <f t="shared" si="20"/>
        <v>0</v>
      </c>
      <c r="K230" s="99">
        <f t="shared" si="17"/>
        <v>116400000</v>
      </c>
    </row>
    <row r="231" spans="1:13">
      <c r="A231" s="99" t="s">
        <v>4399</v>
      </c>
      <c r="B231" s="18">
        <v>-3000900</v>
      </c>
      <c r="C231" s="18">
        <v>0</v>
      </c>
      <c r="D231" s="18">
        <f t="shared" si="18"/>
        <v>-3000900</v>
      </c>
      <c r="E231" s="99" t="s">
        <v>4408</v>
      </c>
      <c r="F231" s="99">
        <v>1</v>
      </c>
      <c r="G231" s="36">
        <f t="shared" si="21"/>
        <v>13</v>
      </c>
      <c r="H231" s="99">
        <f t="shared" si="15"/>
        <v>0</v>
      </c>
      <c r="I231" s="99">
        <f t="shared" si="13"/>
        <v>-39011700</v>
      </c>
      <c r="J231" s="99">
        <f t="shared" si="20"/>
        <v>0</v>
      </c>
      <c r="K231" s="99">
        <f t="shared" si="17"/>
        <v>-39011700</v>
      </c>
    </row>
    <row r="232" spans="1:13">
      <c r="A232" s="99" t="s">
        <v>4400</v>
      </c>
      <c r="B232" s="18">
        <v>-3000900</v>
      </c>
      <c r="C232" s="18">
        <v>0</v>
      </c>
      <c r="D232" s="18">
        <f t="shared" si="18"/>
        <v>-3000900</v>
      </c>
      <c r="E232" s="99" t="s">
        <v>4408</v>
      </c>
      <c r="F232" s="99">
        <v>0</v>
      </c>
      <c r="G232" s="36">
        <f t="shared" si="21"/>
        <v>12</v>
      </c>
      <c r="H232" s="99">
        <f t="shared" si="15"/>
        <v>0</v>
      </c>
      <c r="I232" s="99">
        <f t="shared" si="13"/>
        <v>-36010800</v>
      </c>
      <c r="J232" s="99">
        <f t="shared" si="20"/>
        <v>0</v>
      </c>
      <c r="K232" s="99">
        <f t="shared" si="17"/>
        <v>-36010800</v>
      </c>
    </row>
    <row r="233" spans="1:13">
      <c r="A233" s="99" t="s">
        <v>4400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12</v>
      </c>
      <c r="H233" s="99">
        <f t="shared" si="15"/>
        <v>0</v>
      </c>
      <c r="I233" s="99">
        <f t="shared" si="13"/>
        <v>-6660000</v>
      </c>
      <c r="J233" s="99">
        <f t="shared" si="20"/>
        <v>0</v>
      </c>
      <c r="K233" s="99">
        <f t="shared" si="17"/>
        <v>-6660000</v>
      </c>
    </row>
    <row r="234" spans="1:13">
      <c r="A234" s="99" t="s">
        <v>4423</v>
      </c>
      <c r="B234" s="18">
        <v>-138360</v>
      </c>
      <c r="C234" s="18">
        <v>0</v>
      </c>
      <c r="D234" s="18">
        <f t="shared" si="18"/>
        <v>-138360</v>
      </c>
      <c r="E234" s="99" t="s">
        <v>4425</v>
      </c>
      <c r="F234" s="99">
        <v>1</v>
      </c>
      <c r="G234" s="36">
        <f t="shared" si="21"/>
        <v>11</v>
      </c>
      <c r="H234" s="99">
        <f t="shared" si="15"/>
        <v>0</v>
      </c>
      <c r="I234" s="99">
        <f t="shared" si="13"/>
        <v>-1521960</v>
      </c>
      <c r="J234" s="99">
        <f t="shared" si="20"/>
        <v>0</v>
      </c>
      <c r="K234" s="99">
        <f t="shared" si="17"/>
        <v>-1521960</v>
      </c>
    </row>
    <row r="235" spans="1:13">
      <c r="A235" s="99" t="s">
        <v>4426</v>
      </c>
      <c r="B235" s="18">
        <v>-3000900</v>
      </c>
      <c r="C235" s="18">
        <v>0</v>
      </c>
      <c r="D235" s="18">
        <f t="shared" si="18"/>
        <v>-3000900</v>
      </c>
      <c r="E235" s="99" t="s">
        <v>4408</v>
      </c>
      <c r="F235" s="99">
        <v>2</v>
      </c>
      <c r="G235" s="36">
        <f t="shared" si="21"/>
        <v>10</v>
      </c>
      <c r="H235" s="99">
        <f t="shared" si="15"/>
        <v>0</v>
      </c>
      <c r="I235" s="99">
        <f t="shared" si="13"/>
        <v>-30009000</v>
      </c>
      <c r="J235" s="99">
        <f t="shared" si="20"/>
        <v>0</v>
      </c>
      <c r="K235" s="99">
        <f t="shared" si="17"/>
        <v>-30009000</v>
      </c>
      <c r="M235" t="s">
        <v>25</v>
      </c>
    </row>
    <row r="236" spans="1:13">
      <c r="A236" s="99" t="s">
        <v>4433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8</v>
      </c>
      <c r="H236" s="99">
        <f t="shared" si="15"/>
        <v>0</v>
      </c>
      <c r="I236" s="99">
        <f t="shared" si="13"/>
        <v>-440000</v>
      </c>
      <c r="J236" s="99">
        <f t="shared" si="20"/>
        <v>0</v>
      </c>
      <c r="K236" s="99">
        <f t="shared" si="17"/>
        <v>-440000</v>
      </c>
    </row>
    <row r="237" spans="1:13">
      <c r="A237" s="99" t="s">
        <v>4454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4</v>
      </c>
      <c r="H237" s="99">
        <f t="shared" si="15"/>
        <v>1</v>
      </c>
      <c r="I237" s="99">
        <f t="shared" si="13"/>
        <v>18105000</v>
      </c>
      <c r="J237" s="99">
        <f t="shared" si="20"/>
        <v>0</v>
      </c>
      <c r="K237" s="99">
        <f t="shared" si="17"/>
        <v>18105000</v>
      </c>
    </row>
    <row r="238" spans="1:13">
      <c r="A238" s="99" t="s">
        <v>4461</v>
      </c>
      <c r="B238" s="18">
        <v>-7500</v>
      </c>
      <c r="C238" s="18">
        <v>0</v>
      </c>
      <c r="D238" s="18">
        <f t="shared" si="18"/>
        <v>-7500</v>
      </c>
      <c r="E238" s="99" t="s">
        <v>4462</v>
      </c>
      <c r="F238" s="99">
        <v>1</v>
      </c>
      <c r="G238" s="36">
        <f t="shared" si="21"/>
        <v>2</v>
      </c>
      <c r="H238" s="99">
        <f t="shared" si="15"/>
        <v>0</v>
      </c>
      <c r="I238" s="99">
        <f t="shared" si="13"/>
        <v>-15000</v>
      </c>
      <c r="J238" s="99">
        <f t="shared" si="20"/>
        <v>0</v>
      </c>
      <c r="K238" s="99">
        <f t="shared" si="17"/>
        <v>-15000</v>
      </c>
    </row>
    <row r="239" spans="1:13">
      <c r="A239" s="99" t="s">
        <v>4463</v>
      </c>
      <c r="B239" s="18">
        <v>-4098523</v>
      </c>
      <c r="C239" s="18">
        <v>0</v>
      </c>
      <c r="D239" s="18">
        <f t="shared" si="18"/>
        <v>-4098523</v>
      </c>
      <c r="E239" s="99" t="s">
        <v>4464</v>
      </c>
      <c r="F239" s="99">
        <v>0</v>
      </c>
      <c r="G239" s="36">
        <f t="shared" si="21"/>
        <v>1</v>
      </c>
      <c r="H239" s="99">
        <f t="shared" si="15"/>
        <v>0</v>
      </c>
      <c r="I239" s="99">
        <f t="shared" si="13"/>
        <v>-4098523</v>
      </c>
      <c r="J239" s="99">
        <f t="shared" si="20"/>
        <v>0</v>
      </c>
      <c r="K239" s="99">
        <f t="shared" si="17"/>
        <v>-4098523</v>
      </c>
    </row>
    <row r="240" spans="1:13">
      <c r="A240" s="99" t="s">
        <v>4465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</v>
      </c>
      <c r="H240" s="99">
        <f t="shared" si="15"/>
        <v>0</v>
      </c>
      <c r="I240" s="99">
        <f t="shared" si="13"/>
        <v>-33225</v>
      </c>
      <c r="J240" s="99">
        <f t="shared" si="20"/>
        <v>0</v>
      </c>
      <c r="K240" s="99">
        <f t="shared" si="17"/>
        <v>-33225</v>
      </c>
    </row>
    <row r="241" spans="1:13">
      <c r="A241" s="99" t="s">
        <v>4465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1</v>
      </c>
      <c r="G241" s="36">
        <f t="shared" si="21"/>
        <v>1</v>
      </c>
      <c r="H241" s="99">
        <f t="shared" si="15"/>
        <v>0</v>
      </c>
      <c r="I241" s="99">
        <f t="shared" si="13"/>
        <v>-1895000</v>
      </c>
      <c r="J241" s="99">
        <f t="shared" si="20"/>
        <v>0</v>
      </c>
      <c r="K241" s="99">
        <f t="shared" si="17"/>
        <v>-1895000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18807500471</v>
      </c>
      <c r="J267" s="29">
        <f>SUM(J2:J266)</f>
        <v>8512372071</v>
      </c>
      <c r="K267" s="29">
        <f>SUM(K2:K266)</f>
        <v>10295128400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19755777.805672269</v>
      </c>
      <c r="J270" s="29">
        <f>J267/G2</f>
        <v>8941567.3014705889</v>
      </c>
      <c r="K270" s="29">
        <f>K267/G2</f>
        <v>10814210.50420168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655687.3088364054</v>
      </c>
      <c r="K274">
        <f>K267/I267*1448696</f>
        <v>793008.6911635946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4401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4402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1202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3909059.6694533755</v>
      </c>
      <c r="C8" s="99">
        <f>B2*B4*B5/(B1*B3)+B7/B6</f>
        <v>283.26519343865039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470940.33054662449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4410</v>
      </c>
      <c r="L21" s="33" t="s">
        <v>4412</v>
      </c>
      <c r="M21" s="96" t="s">
        <v>4411</v>
      </c>
      <c r="N21" s="195" t="s">
        <v>4413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4372</v>
      </c>
      <c r="L23">
        <v>9149046982</v>
      </c>
      <c r="M23" t="s">
        <v>4373</v>
      </c>
      <c r="N23" t="s">
        <v>4374</v>
      </c>
      <c r="O23" t="s">
        <v>4375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4376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4377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O33" zoomScaleNormal="100" workbookViewId="0">
      <selection activeCell="AI136" sqref="AI13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-L84*12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4393</v>
      </c>
      <c r="AS9" s="99" t="s">
        <v>4394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4420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4395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4150000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99" t="s">
        <v>4332</v>
      </c>
      <c r="R18" s="99" t="s">
        <v>25</v>
      </c>
      <c r="S18" s="99"/>
      <c r="T18" s="95"/>
      <c r="U18" s="169" t="s">
        <v>4419</v>
      </c>
      <c r="V18" s="36" t="s">
        <v>4421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-آبان97!D91</f>
        <v>55472418</v>
      </c>
      <c r="M19" s="169" t="s">
        <v>4342</v>
      </c>
      <c r="N19" s="113">
        <f t="shared" ref="N19:N25" si="4">O19*P19</f>
        <v>9624811.2000000011</v>
      </c>
      <c r="O19" s="99">
        <v>48028</v>
      </c>
      <c r="P19" s="193">
        <f>P38</f>
        <v>200.4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4357</v>
      </c>
      <c r="N20" s="113">
        <f t="shared" si="4"/>
        <v>9923884.7999999989</v>
      </c>
      <c r="O20" s="99">
        <v>33504</v>
      </c>
      <c r="P20" s="193">
        <f>P42</f>
        <v>296.2</v>
      </c>
      <c r="Q20" s="170">
        <v>9268987</v>
      </c>
      <c r="R20" s="99" t="s">
        <v>4181</v>
      </c>
      <c r="S20" s="99">
        <v>55</v>
      </c>
      <c r="T20" s="99" t="s">
        <v>4351</v>
      </c>
      <c r="U20" s="99">
        <v>192.1</v>
      </c>
      <c r="V20" s="99">
        <f>U20*(1+$R$68+$Q$15*S20/36500)</f>
        <v>202.35656109589044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226</v>
      </c>
      <c r="AL20" s="113">
        <f>AI20*AK20</f>
        <v>4068000000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L53</f>
        <v>280534620</v>
      </c>
      <c r="G21" s="29">
        <f t="shared" si="0"/>
        <v>-18534620</v>
      </c>
      <c r="H21" s="11" t="s">
        <v>4216</v>
      </c>
      <c r="J21" s="25"/>
      <c r="K21" s="169"/>
      <c r="L21" s="117"/>
      <c r="M21" s="169" t="s">
        <v>4350</v>
      </c>
      <c r="N21" s="113">
        <f t="shared" si="4"/>
        <v>2948116.8</v>
      </c>
      <c r="O21" s="99">
        <v>21179</v>
      </c>
      <c r="P21" s="193">
        <f>P46</f>
        <v>139.19999999999999</v>
      </c>
      <c r="Q21" s="170">
        <v>54501</v>
      </c>
      <c r="R21" s="99" t="s">
        <v>4289</v>
      </c>
      <c r="S21" s="99">
        <f>S20-24</f>
        <v>31</v>
      </c>
      <c r="T21" s="99" t="s">
        <v>4288</v>
      </c>
      <c r="U21" s="99">
        <v>350</v>
      </c>
      <c r="V21" s="99">
        <f>U21*(1+$R$68+$Q$15*S21/36500)</f>
        <v>362.24328767123291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5">AK22+AJ21</f>
        <v>225</v>
      </c>
      <c r="AL21" s="113">
        <f t="shared" ref="AL21:AL88" si="6">AI21*AK21</f>
        <v>562500000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1500000</v>
      </c>
      <c r="M22" s="169" t="s">
        <v>4290</v>
      </c>
      <c r="N22" s="113">
        <f t="shared" si="4"/>
        <v>129735</v>
      </c>
      <c r="O22" s="99">
        <v>155</v>
      </c>
      <c r="P22" s="193">
        <f>P41</f>
        <v>837</v>
      </c>
      <c r="Q22" s="170">
        <v>1450345</v>
      </c>
      <c r="R22" s="99" t="s">
        <v>4346</v>
      </c>
      <c r="S22" s="99">
        <f>S21-11</f>
        <v>20</v>
      </c>
      <c r="T22" s="99" t="s">
        <v>4352</v>
      </c>
      <c r="U22" s="99">
        <v>313.7</v>
      </c>
      <c r="V22" s="99">
        <f>U22*(1+$R$68+$Q$15*S22/36500)</f>
        <v>322.02637150684933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5"/>
        <v>224</v>
      </c>
      <c r="AL22" s="113">
        <f t="shared" si="6"/>
        <v>1792000000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4456</v>
      </c>
      <c r="N23" s="113">
        <f t="shared" si="4"/>
        <v>570424.79999999993</v>
      </c>
      <c r="O23" s="99">
        <v>102</v>
      </c>
      <c r="P23" s="99">
        <f>P43</f>
        <v>5592.4</v>
      </c>
      <c r="Q23" s="170">
        <v>400069</v>
      </c>
      <c r="R23" s="99" t="s">
        <v>4353</v>
      </c>
      <c r="S23" s="99">
        <f>S22-1</f>
        <v>19</v>
      </c>
      <c r="T23" s="99" t="s">
        <v>4354</v>
      </c>
      <c r="U23" s="99">
        <v>314.8</v>
      </c>
      <c r="V23" s="99">
        <f>U23*(1+$R$68+$Q$15*S23/36500)</f>
        <v>322.91407780821919</v>
      </c>
      <c r="X23" s="169" t="s">
        <v>180</v>
      </c>
      <c r="Y23" s="169" t="s">
        <v>4325</v>
      </c>
      <c r="Z23" s="113" t="s">
        <v>4331</v>
      </c>
      <c r="AA23" s="113" t="s">
        <v>938</v>
      </c>
      <c r="AB23" s="56"/>
      <c r="AC23" s="56" t="s">
        <v>942</v>
      </c>
      <c r="AD23" s="56" t="s">
        <v>4333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5"/>
        <v>223</v>
      </c>
      <c r="AL23" s="113">
        <f t="shared" si="6"/>
        <v>-17740096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4416</v>
      </c>
      <c r="N24" s="113">
        <f t="shared" si="4"/>
        <v>142350</v>
      </c>
      <c r="O24" s="69">
        <v>125</v>
      </c>
      <c r="P24" s="99">
        <f>P40</f>
        <v>1138.8</v>
      </c>
      <c r="Q24" s="170">
        <v>8690518</v>
      </c>
      <c r="R24" s="99" t="s">
        <v>4353</v>
      </c>
      <c r="S24" s="99">
        <f>S23</f>
        <v>19</v>
      </c>
      <c r="T24" s="99" t="s">
        <v>4355</v>
      </c>
      <c r="U24" s="99">
        <v>313</v>
      </c>
      <c r="V24" s="99">
        <f>U24*(1+$R$68+$Q$15*S24/36500)</f>
        <v>321.06768219178082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4150000</v>
      </c>
      <c r="AD24" s="113">
        <f>AA24*AC24</f>
        <v>31664500</v>
      </c>
      <c r="AE24" s="169" t="s">
        <v>4407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5"/>
        <v>222</v>
      </c>
      <c r="AL24" s="113">
        <f t="shared" si="6"/>
        <v>36741000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4471</v>
      </c>
      <c r="N25" s="113">
        <f t="shared" si="4"/>
        <v>1415760</v>
      </c>
      <c r="O25" s="69">
        <v>2082</v>
      </c>
      <c r="P25" s="99">
        <f>P45</f>
        <v>680</v>
      </c>
      <c r="Q25" s="170">
        <v>3000094</v>
      </c>
      <c r="R25" s="99" t="s">
        <v>4353</v>
      </c>
      <c r="S25" s="99">
        <f>S24</f>
        <v>19</v>
      </c>
      <c r="T25" s="99" t="s">
        <v>4356</v>
      </c>
      <c r="U25" s="99">
        <v>141</v>
      </c>
      <c r="V25" s="99">
        <f>U25*(1+$R$68+$Q$15*S25/36500)</f>
        <v>144.63432328767124</v>
      </c>
      <c r="X25" s="113" t="s">
        <v>4330</v>
      </c>
      <c r="Y25" s="170">
        <v>-11344820</v>
      </c>
      <c r="Z25" s="56" t="s">
        <v>4334</v>
      </c>
      <c r="AA25" s="56">
        <v>-80808</v>
      </c>
      <c r="AB25" s="56" t="s">
        <v>4336</v>
      </c>
      <c r="AC25" s="169">
        <f>P44</f>
        <v>446.8</v>
      </c>
      <c r="AD25" s="113">
        <f>AA25*AC25</f>
        <v>-36105014.399999999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5"/>
        <v>210</v>
      </c>
      <c r="AL25" s="113">
        <f t="shared" si="6"/>
        <v>-6054368670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 t="s">
        <v>25</v>
      </c>
      <c r="L26" s="117"/>
      <c r="M26" s="169" t="s">
        <v>756</v>
      </c>
      <c r="N26" s="113">
        <v>3000000</v>
      </c>
      <c r="O26" s="22"/>
      <c r="Q26" s="170">
        <v>106732</v>
      </c>
      <c r="R26" s="99" t="s">
        <v>4400</v>
      </c>
      <c r="S26" s="99">
        <f>S25-8</f>
        <v>11</v>
      </c>
      <c r="T26" s="99" t="s">
        <v>4417</v>
      </c>
      <c r="U26" s="99">
        <v>850</v>
      </c>
      <c r="V26" s="99">
        <f>U26*(1+$R$68+$Q$15*S26/36500)</f>
        <v>866.692602739726</v>
      </c>
      <c r="X26" s="113" t="s">
        <v>4353</v>
      </c>
      <c r="Y26" s="170">
        <v>-8690518</v>
      </c>
      <c r="Z26" s="169" t="s">
        <v>4337</v>
      </c>
      <c r="AA26" s="169">
        <v>-27637</v>
      </c>
      <c r="AB26" s="169" t="s">
        <v>4332</v>
      </c>
      <c r="AC26" s="169">
        <f>P42</f>
        <v>296.2</v>
      </c>
      <c r="AD26" s="113">
        <f t="shared" ref="AD26:AD28" si="7">AA26*AC26</f>
        <v>-8186079.3999999994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5"/>
        <v>204</v>
      </c>
      <c r="AL26" s="113">
        <f t="shared" si="6"/>
        <v>3774000000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918</v>
      </c>
      <c r="L27" s="117">
        <v>4800000</v>
      </c>
      <c r="M27" s="169" t="s">
        <v>4158</v>
      </c>
      <c r="N27" s="113">
        <f>-1*L19</f>
        <v>-55472418</v>
      </c>
      <c r="P27" t="s">
        <v>25</v>
      </c>
      <c r="Q27" s="170">
        <v>595156</v>
      </c>
      <c r="R27" s="99" t="s">
        <v>4454</v>
      </c>
      <c r="S27" s="99">
        <f>S26-8</f>
        <v>3</v>
      </c>
      <c r="T27" s="99" t="s">
        <v>4457</v>
      </c>
      <c r="U27" s="99">
        <v>5808.5</v>
      </c>
      <c r="V27" s="99">
        <f>U27*(1+$R$68+$Q$15*S27/36500)</f>
        <v>5886.9227068493155</v>
      </c>
      <c r="X27" s="113" t="s">
        <v>4454</v>
      </c>
      <c r="Y27" s="170">
        <v>-595156</v>
      </c>
      <c r="Z27" s="169" t="s">
        <v>4456</v>
      </c>
      <c r="AA27" s="169">
        <v>-102</v>
      </c>
      <c r="AB27" s="169" t="s">
        <v>4332</v>
      </c>
      <c r="AC27" s="169">
        <f>P43</f>
        <v>5592.4</v>
      </c>
      <c r="AD27" s="113">
        <f t="shared" si="7"/>
        <v>-570424.79999999993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5"/>
        <v>203</v>
      </c>
      <c r="AL27" s="113">
        <f t="shared" si="6"/>
        <v>-3765650000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929</v>
      </c>
      <c r="L28" s="117">
        <v>0</v>
      </c>
      <c r="M28" s="169" t="s">
        <v>753</v>
      </c>
      <c r="N28" s="113">
        <v>500000</v>
      </c>
      <c r="O28" t="s">
        <v>25</v>
      </c>
      <c r="P28" t="s">
        <v>25</v>
      </c>
      <c r="Q28" s="170">
        <v>1422187</v>
      </c>
      <c r="R28" s="99" t="s">
        <v>4465</v>
      </c>
      <c r="S28" s="99">
        <f>S27-3</f>
        <v>0</v>
      </c>
      <c r="T28" s="99" t="s">
        <v>4470</v>
      </c>
      <c r="U28" s="99">
        <v>680</v>
      </c>
      <c r="V28" s="99">
        <f>U28*(1+$R$68+$Q$15*S28/36500)</f>
        <v>687.6160000000001</v>
      </c>
      <c r="X28" s="113" t="s">
        <v>4454</v>
      </c>
      <c r="Y28" s="170">
        <v>-2010885</v>
      </c>
      <c r="Z28" s="169" t="s">
        <v>4253</v>
      </c>
      <c r="AA28" s="169">
        <v>-9904</v>
      </c>
      <c r="AB28" s="169" t="s">
        <v>4336</v>
      </c>
      <c r="AC28" s="169">
        <f>P38</f>
        <v>200.4</v>
      </c>
      <c r="AD28" s="113">
        <f t="shared" si="7"/>
        <v>-1984761.6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5"/>
        <v>202</v>
      </c>
      <c r="AL28" s="113">
        <f t="shared" si="6"/>
        <v>-13122122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1087</v>
      </c>
      <c r="L29" s="117">
        <f>65*P15</f>
        <v>269750000</v>
      </c>
      <c r="M29" s="169" t="s">
        <v>760</v>
      </c>
      <c r="N29" s="113">
        <v>1200000</v>
      </c>
      <c r="O29" t="s">
        <v>25</v>
      </c>
      <c r="P29" t="s">
        <v>25</v>
      </c>
      <c r="Q29" s="170"/>
      <c r="R29" s="99"/>
      <c r="S29" s="99"/>
      <c r="T29" s="99"/>
      <c r="U29" s="99"/>
      <c r="V29" s="99"/>
      <c r="X29" s="113"/>
      <c r="Y29" s="170"/>
      <c r="Z29" s="169"/>
      <c r="AA29" s="169"/>
      <c r="AB29" s="169"/>
      <c r="AC29" s="169"/>
      <c r="AD29" s="113"/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5"/>
        <v>197</v>
      </c>
      <c r="AL29" s="113">
        <f t="shared" si="6"/>
        <v>1260800000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4156</v>
      </c>
      <c r="L30" s="117">
        <v>-50000000</v>
      </c>
      <c r="M30" s="73" t="s">
        <v>4323</v>
      </c>
      <c r="N30" s="113">
        <v>2676336</v>
      </c>
      <c r="O30" s="22"/>
      <c r="P30" t="s">
        <v>25</v>
      </c>
      <c r="Q30" s="170">
        <f>SUM(N19:N25)-SUM(Q20:Q29)</f>
        <v>-233506.39999999851</v>
      </c>
      <c r="R30" s="99"/>
      <c r="S30" s="99" t="s">
        <v>25</v>
      </c>
      <c r="T30" s="99"/>
      <c r="U30" s="99"/>
      <c r="V30" s="99"/>
      <c r="X30" s="113"/>
      <c r="Y30" s="56"/>
      <c r="Z30" s="169"/>
      <c r="AA30" s="169"/>
      <c r="AB30" s="169"/>
      <c r="AC30" s="169"/>
      <c r="AD30" s="113">
        <v>-10850889</v>
      </c>
      <c r="AE30" s="169" t="s">
        <v>4452</v>
      </c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5"/>
        <v>196</v>
      </c>
      <c r="AL30" s="113">
        <f t="shared" si="6"/>
        <v>-33320000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4369</v>
      </c>
      <c r="L31" s="117">
        <v>-2985000</v>
      </c>
      <c r="M31" s="169" t="s">
        <v>1087</v>
      </c>
      <c r="N31" s="113">
        <f>65*P15</f>
        <v>269750000</v>
      </c>
      <c r="P31" t="s">
        <v>25</v>
      </c>
      <c r="R31" s="115"/>
      <c r="S31" s="115"/>
      <c r="T31" s="115"/>
      <c r="U31" s="115"/>
      <c r="V31" s="115"/>
      <c r="X31" s="26"/>
      <c r="Y31" s="186"/>
      <c r="Z31" s="186"/>
      <c r="AA31" s="186"/>
      <c r="AB31" s="186"/>
      <c r="AC31" s="186"/>
      <c r="AD31" s="186"/>
      <c r="AE31" s="18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191</v>
      </c>
      <c r="AL31" s="113">
        <f t="shared" si="6"/>
        <v>-1203300000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4383</v>
      </c>
      <c r="L32" s="117">
        <v>1000000</v>
      </c>
      <c r="M32" s="169" t="s">
        <v>4360</v>
      </c>
      <c r="N32" s="113">
        <v>-20000000</v>
      </c>
      <c r="R32" s="115"/>
      <c r="S32" s="115"/>
      <c r="T32" s="115"/>
      <c r="U32" s="115"/>
      <c r="V32" s="115"/>
      <c r="X32" s="26"/>
      <c r="Y32" s="186"/>
      <c r="Z32" s="186"/>
      <c r="AA32" s="186"/>
      <c r="AB32" s="186"/>
      <c r="AC32" s="186"/>
      <c r="AD32" s="42">
        <f>SUM(AD24:AD30)</f>
        <v>-26032669.199999996</v>
      </c>
      <c r="AE32" s="18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5"/>
        <v>190</v>
      </c>
      <c r="AL32" s="113">
        <f t="shared" si="6"/>
        <v>-9882850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4430</v>
      </c>
      <c r="L33" s="117">
        <v>-26000</v>
      </c>
      <c r="M33" s="169" t="s">
        <v>4392</v>
      </c>
      <c r="N33" s="113">
        <v>-50000000</v>
      </c>
      <c r="O33" s="96" t="s">
        <v>25</v>
      </c>
      <c r="P33" s="96"/>
      <c r="Q33" t="s">
        <v>25</v>
      </c>
      <c r="S33" s="26" t="s">
        <v>25</v>
      </c>
      <c r="T33" t="s">
        <v>25</v>
      </c>
      <c r="V33" s="115"/>
      <c r="X33" s="41"/>
      <c r="Y33" s="186"/>
      <c r="Z33" s="186"/>
      <c r="AA33" s="186"/>
      <c r="AB33" s="186"/>
      <c r="AC33" s="186"/>
      <c r="AD33" s="186" t="s">
        <v>945</v>
      </c>
      <c r="AE33" s="186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5"/>
        <v>174</v>
      </c>
      <c r="AL33" s="113">
        <f t="shared" si="6"/>
        <v>3483027600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117"/>
      <c r="M34" s="169" t="s">
        <v>4383</v>
      </c>
      <c r="N34" s="113">
        <v>1000000</v>
      </c>
      <c r="O34" s="96"/>
      <c r="P34" s="96"/>
      <c r="T34" t="s">
        <v>25</v>
      </c>
      <c r="X34" s="115"/>
      <c r="Y34" s="115"/>
      <c r="Z34" s="115"/>
      <c r="AA34" s="115"/>
      <c r="AB34" s="115"/>
      <c r="AC34" s="115" t="s">
        <v>4453</v>
      </c>
      <c r="AD34" s="113">
        <f>SUM(AD25:AD30)/AA24</f>
        <v>-7561883.2503276533</v>
      </c>
      <c r="AE34" s="115" t="s">
        <v>25</v>
      </c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5"/>
        <v>174</v>
      </c>
      <c r="AL34" s="113">
        <f t="shared" si="6"/>
        <v>176517084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99"/>
      <c r="L35" s="99"/>
      <c r="M35" s="169" t="s">
        <v>3892</v>
      </c>
      <c r="N35" s="113">
        <v>2677430</v>
      </c>
      <c r="O35" s="99" t="s">
        <v>938</v>
      </c>
      <c r="P35" s="99" t="s">
        <v>3933</v>
      </c>
      <c r="X35" s="115"/>
      <c r="Y35" s="115"/>
      <c r="Z35" s="115"/>
      <c r="AA35" s="115"/>
      <c r="AB35" s="115"/>
      <c r="AC35" s="115"/>
      <c r="AD35" s="115"/>
      <c r="AE35" s="115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5"/>
        <v>162</v>
      </c>
      <c r="AL35" s="113">
        <f t="shared" si="6"/>
        <v>58320000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56"/>
      <c r="L36" s="117"/>
      <c r="M36" s="169"/>
      <c r="N36" s="113"/>
      <c r="O36" s="99"/>
      <c r="P36" s="99"/>
      <c r="X36" s="115"/>
      <c r="Y36" s="115"/>
      <c r="Z36" s="115"/>
      <c r="AA36" s="115"/>
      <c r="AB36" s="115"/>
      <c r="AC36" s="115"/>
      <c r="AD36" s="115"/>
      <c r="AE36" s="115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5"/>
        <v>160</v>
      </c>
      <c r="AL36" s="113">
        <f t="shared" si="6"/>
        <v>-56000000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 ht="30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56"/>
      <c r="L37" s="117"/>
      <c r="M37" s="32" t="s">
        <v>4450</v>
      </c>
      <c r="N37" s="113">
        <f t="shared" ref="N37:N46" si="11">O37*P37</f>
        <v>2309946.6</v>
      </c>
      <c r="O37" s="99">
        <v>611</v>
      </c>
      <c r="P37" s="99">
        <v>3780.6</v>
      </c>
      <c r="Q37" s="73" t="s">
        <v>4336</v>
      </c>
      <c r="R37" s="112"/>
      <c r="S37" s="112"/>
      <c r="T37" s="112"/>
      <c r="U37" s="169" t="s">
        <v>4419</v>
      </c>
      <c r="V37" s="36" t="s">
        <v>4421</v>
      </c>
      <c r="W37"/>
      <c r="X37" s="115" t="s">
        <v>25</v>
      </c>
      <c r="Y37" s="115"/>
      <c r="Z37" s="115"/>
      <c r="AA37" s="115"/>
      <c r="AB37" s="115"/>
      <c r="AC37" s="115"/>
      <c r="AD37" s="115"/>
      <c r="AE37" s="115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5"/>
        <v>160</v>
      </c>
      <c r="AL37" s="113">
        <f t="shared" si="6"/>
        <v>160000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169" t="s">
        <v>4188</v>
      </c>
      <c r="N38" s="113">
        <f t="shared" si="11"/>
        <v>208284136.80000001</v>
      </c>
      <c r="O38" s="99">
        <v>1039342</v>
      </c>
      <c r="P38" s="99">
        <v>200.4</v>
      </c>
      <c r="Q38" s="112" t="s">
        <v>267</v>
      </c>
      <c r="R38" s="112" t="s">
        <v>180</v>
      </c>
      <c r="S38" s="112" t="s">
        <v>183</v>
      </c>
      <c r="T38" s="112" t="s">
        <v>8</v>
      </c>
      <c r="U38" s="169"/>
      <c r="V38" s="99"/>
      <c r="W38"/>
      <c r="X38" s="115"/>
      <c r="Y38" s="115"/>
      <c r="Z38" s="115"/>
      <c r="AA38" s="115"/>
      <c r="AB38" s="115"/>
      <c r="AC38" s="115"/>
      <c r="AD38" s="115"/>
      <c r="AE38" s="115" t="s">
        <v>25</v>
      </c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5"/>
        <v>159</v>
      </c>
      <c r="AL38" s="113">
        <f t="shared" si="6"/>
        <v>5343990000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169" t="s">
        <v>4270</v>
      </c>
      <c r="N39" s="113">
        <f t="shared" si="11"/>
        <v>3941066.4</v>
      </c>
      <c r="O39" s="99">
        <v>19666</v>
      </c>
      <c r="P39" s="99">
        <f>P38</f>
        <v>200.4</v>
      </c>
      <c r="Q39" s="170">
        <v>184971545</v>
      </c>
      <c r="R39" s="169" t="s">
        <v>4181</v>
      </c>
      <c r="S39" s="169">
        <v>56</v>
      </c>
      <c r="T39" s="169" t="s">
        <v>4398</v>
      </c>
      <c r="U39" s="169">
        <v>192</v>
      </c>
      <c r="V39" s="99">
        <f>U39*(1+$R$68+$Q$15*S39/36500)</f>
        <v>202.39850958904111</v>
      </c>
      <c r="W39" t="s">
        <v>25</v>
      </c>
      <c r="X39" s="115"/>
      <c r="Y39" s="115"/>
      <c r="Z39" s="115"/>
      <c r="AA39" s="115"/>
      <c r="AB39" s="115"/>
      <c r="AC39" s="115"/>
      <c r="AD39" s="115"/>
      <c r="AE39" s="11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5"/>
        <v>155</v>
      </c>
      <c r="AL39" s="113">
        <f t="shared" si="6"/>
        <v>-2418000000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169" t="s">
        <v>4416</v>
      </c>
      <c r="N40" s="113">
        <f t="shared" si="11"/>
        <v>143488.79999999999</v>
      </c>
      <c r="O40" s="99">
        <v>126</v>
      </c>
      <c r="P40" s="99">
        <v>1138.8</v>
      </c>
      <c r="Q40" s="170">
        <v>3759803</v>
      </c>
      <c r="R40" s="169" t="s">
        <v>4271</v>
      </c>
      <c r="S40" s="169">
        <f>S39-21</f>
        <v>35</v>
      </c>
      <c r="T40" s="169" t="s">
        <v>4280</v>
      </c>
      <c r="U40" s="169">
        <v>190.3</v>
      </c>
      <c r="V40" s="99">
        <f>U40*(1+$R$68+$Q$15*S40/36500)</f>
        <v>197.54078465753429</v>
      </c>
      <c r="X40" s="115"/>
      <c r="Y40" s="115"/>
      <c r="Z40" s="115"/>
      <c r="AA40" s="115"/>
      <c r="AB40" s="115"/>
      <c r="AC40" s="115"/>
      <c r="AD40" s="115"/>
      <c r="AE40" s="11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5"/>
        <v>152</v>
      </c>
      <c r="AL40" s="113">
        <f t="shared" si="6"/>
        <v>1140000000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169" t="s">
        <v>4290</v>
      </c>
      <c r="N41" s="113">
        <f t="shared" si="11"/>
        <v>129735</v>
      </c>
      <c r="O41" s="185">
        <v>155</v>
      </c>
      <c r="P41" s="99">
        <v>837</v>
      </c>
      <c r="Q41" s="170">
        <v>54501</v>
      </c>
      <c r="R41" s="169" t="s">
        <v>4289</v>
      </c>
      <c r="S41" s="169">
        <f>S40-4</f>
        <v>31</v>
      </c>
      <c r="T41" s="169" t="s">
        <v>4288</v>
      </c>
      <c r="U41" s="169">
        <v>350</v>
      </c>
      <c r="V41" s="99">
        <f>U41*(1+$R$68+$Q$15*S41/36500)</f>
        <v>362.24328767123291</v>
      </c>
      <c r="W41"/>
      <c r="X41" s="115"/>
      <c r="Y41" s="115"/>
      <c r="Z41" s="115"/>
      <c r="AA41" s="115"/>
      <c r="AB41" s="115" t="s">
        <v>25</v>
      </c>
      <c r="AC41" s="115"/>
      <c r="AD41" s="115"/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5"/>
        <v>148</v>
      </c>
      <c r="AL41" s="113">
        <f t="shared" si="6"/>
        <v>-14504000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99"/>
      <c r="L42" s="99"/>
      <c r="M42" s="169" t="s">
        <v>4337</v>
      </c>
      <c r="N42" s="113">
        <f t="shared" si="11"/>
        <v>8692581.4000000004</v>
      </c>
      <c r="O42" s="69">
        <v>29347</v>
      </c>
      <c r="P42" s="69">
        <v>296.2</v>
      </c>
      <c r="Q42" s="170">
        <v>9560464</v>
      </c>
      <c r="R42" s="169" t="s">
        <v>4340</v>
      </c>
      <c r="S42" s="169">
        <f>S41-7</f>
        <v>24</v>
      </c>
      <c r="T42" s="169" t="s">
        <v>4359</v>
      </c>
      <c r="U42" s="169">
        <v>214.57</v>
      </c>
      <c r="V42" s="99">
        <f>U42*(1+$R$68+$Q$15*S42/36500)</f>
        <v>220.92362345205478</v>
      </c>
      <c r="W42"/>
      <c r="AC42" t="s">
        <v>25</v>
      </c>
      <c r="AD42" t="s">
        <v>25</v>
      </c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5"/>
        <v>147</v>
      </c>
      <c r="AL42" s="113">
        <f t="shared" si="6"/>
        <v>-3822000000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99"/>
      <c r="L43" s="99"/>
      <c r="M43" s="169" t="s">
        <v>4456</v>
      </c>
      <c r="N43" s="113">
        <f t="shared" si="11"/>
        <v>3003118.8</v>
      </c>
      <c r="O43" s="69">
        <v>537</v>
      </c>
      <c r="P43" s="69">
        <v>5592.4</v>
      </c>
      <c r="Q43" s="170">
        <v>2000000</v>
      </c>
      <c r="R43" s="169" t="s">
        <v>4393</v>
      </c>
      <c r="S43" s="169">
        <f>S42-11</f>
        <v>13</v>
      </c>
      <c r="T43" s="169" t="s">
        <v>4397</v>
      </c>
      <c r="U43" s="169">
        <v>206.8</v>
      </c>
      <c r="V43" s="99">
        <f>U43*(1+$R$68+$Q$15*S43/36500)</f>
        <v>211.17849424657538</v>
      </c>
      <c r="W43"/>
      <c r="AA43" s="96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5"/>
        <v>147</v>
      </c>
      <c r="AL43" s="113">
        <f t="shared" si="6"/>
        <v>3675000000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99"/>
      <c r="L44" s="99"/>
      <c r="M44" s="169" t="s">
        <v>4476</v>
      </c>
      <c r="N44" s="117">
        <f t="shared" si="11"/>
        <v>4660570.8</v>
      </c>
      <c r="O44" s="69">
        <v>10431</v>
      </c>
      <c r="P44" s="69">
        <v>446.8</v>
      </c>
      <c r="Q44" s="170">
        <v>107586</v>
      </c>
      <c r="R44" s="169" t="s">
        <v>4400</v>
      </c>
      <c r="S44" s="169">
        <f>S43-2</f>
        <v>11</v>
      </c>
      <c r="T44" s="169" t="s">
        <v>4415</v>
      </c>
      <c r="U44" s="169">
        <v>850</v>
      </c>
      <c r="V44" s="99">
        <f>U44*(1+$R$68+$Q$15*S44/36500)</f>
        <v>866.692602739726</v>
      </c>
      <c r="W44"/>
      <c r="AA44" s="96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5"/>
        <v>146</v>
      </c>
      <c r="AL44" s="113">
        <f t="shared" si="6"/>
        <v>16060000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73" t="s">
        <v>4471</v>
      </c>
      <c r="N45" s="117">
        <f t="shared" si="11"/>
        <v>1415080</v>
      </c>
      <c r="O45" s="99">
        <v>2081</v>
      </c>
      <c r="P45" s="69">
        <v>680</v>
      </c>
      <c r="Q45" s="170">
        <v>1457531</v>
      </c>
      <c r="R45" s="169" t="s">
        <v>4433</v>
      </c>
      <c r="S45" s="169">
        <f>S44-4</f>
        <v>7</v>
      </c>
      <c r="T45" s="169" t="s">
        <v>4434</v>
      </c>
      <c r="U45" s="169">
        <v>310</v>
      </c>
      <c r="V45" s="99">
        <f>U45*(1+$R$68+$Q$15*S45/36500)</f>
        <v>315.13665753424664</v>
      </c>
      <c r="AA45" s="96"/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5"/>
        <v>145</v>
      </c>
      <c r="AL45" s="113">
        <f t="shared" si="6"/>
        <v>55100000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73" t="s">
        <v>4334</v>
      </c>
      <c r="N46" s="117">
        <f t="shared" si="11"/>
        <v>0</v>
      </c>
      <c r="O46" s="69">
        <v>0</v>
      </c>
      <c r="P46" s="69">
        <v>139.19999999999999</v>
      </c>
      <c r="Q46" s="170">
        <v>1429825</v>
      </c>
      <c r="R46" s="169" t="s">
        <v>4428</v>
      </c>
      <c r="S46" s="169">
        <f>S45-1</f>
        <v>6</v>
      </c>
      <c r="T46" s="169" t="s">
        <v>4439</v>
      </c>
      <c r="U46" s="169">
        <v>203.9</v>
      </c>
      <c r="V46" s="99">
        <f>U46*(1+$R$68+$Q$15*S46/36500)</f>
        <v>207.122178630137</v>
      </c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5"/>
        <v>138</v>
      </c>
      <c r="AL46" s="113">
        <f t="shared" si="6"/>
        <v>62100000</v>
      </c>
      <c r="AM46" s="99"/>
    </row>
    <row r="47" spans="1:53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73"/>
      <c r="N47" s="117"/>
      <c r="O47" s="122"/>
      <c r="P47" s="122"/>
      <c r="Q47" s="170">
        <v>1420747</v>
      </c>
      <c r="R47" s="169" t="s">
        <v>4428</v>
      </c>
      <c r="S47" s="169">
        <f>S46</f>
        <v>6</v>
      </c>
      <c r="T47" s="169" t="s">
        <v>4441</v>
      </c>
      <c r="U47" s="169">
        <v>203.1</v>
      </c>
      <c r="V47" s="99">
        <f>U47*(1+$R$68+$Q$15*S47/36500)</f>
        <v>206.30953643835616</v>
      </c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5"/>
        <v>132</v>
      </c>
      <c r="AL47" s="113">
        <f t="shared" si="6"/>
        <v>369600000</v>
      </c>
      <c r="AM47" s="99"/>
    </row>
    <row r="48" spans="1:53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169" t="s">
        <v>1155</v>
      </c>
      <c r="N48" s="117">
        <v>14908</v>
      </c>
      <c r="O48" s="96" t="s">
        <v>25</v>
      </c>
      <c r="P48" t="s">
        <v>25</v>
      </c>
      <c r="Q48" s="170">
        <v>2864946</v>
      </c>
      <c r="R48" s="169" t="s">
        <v>4428</v>
      </c>
      <c r="S48" s="169">
        <f>S47</f>
        <v>6</v>
      </c>
      <c r="T48" s="169" t="s">
        <v>4443</v>
      </c>
      <c r="U48" s="169">
        <v>303.60000000000002</v>
      </c>
      <c r="V48" s="99">
        <f>U48*(1+$R$68+$Q$15*S48/36500)</f>
        <v>308.39771178082196</v>
      </c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5"/>
        <v>131</v>
      </c>
      <c r="AL48" s="113">
        <f t="shared" si="6"/>
        <v>-196500000</v>
      </c>
      <c r="AM48" s="99"/>
    </row>
    <row r="49" spans="1:39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99"/>
      <c r="L49" s="99"/>
      <c r="M49" s="169" t="s">
        <v>1156</v>
      </c>
      <c r="N49" s="117">
        <v>5282</v>
      </c>
      <c r="O49" s="96"/>
      <c r="Q49" s="170">
        <v>2412371</v>
      </c>
      <c r="R49" s="169" t="s">
        <v>4431</v>
      </c>
      <c r="S49" s="169">
        <f>S48-1</f>
        <v>5</v>
      </c>
      <c r="T49" s="169" t="s">
        <v>4449</v>
      </c>
      <c r="U49" s="169">
        <v>3930</v>
      </c>
      <c r="V49" s="99">
        <f>U49*(1+$R$68+$Q$15*S49/36500)</f>
        <v>3989.0899726027401</v>
      </c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131</v>
      </c>
      <c r="AL49" s="113">
        <f t="shared" si="6"/>
        <v>399550000</v>
      </c>
      <c r="AM49" s="99"/>
    </row>
    <row r="50" spans="1:39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169"/>
      <c r="L50" s="117"/>
      <c r="M50" s="169"/>
      <c r="N50" s="113"/>
      <c r="O50" s="115"/>
      <c r="P50" s="115"/>
      <c r="Q50" s="170">
        <v>2010885</v>
      </c>
      <c r="R50" s="169" t="s">
        <v>4454</v>
      </c>
      <c r="S50" s="169">
        <f>S49-2</f>
        <v>3</v>
      </c>
      <c r="T50" s="169" t="s">
        <v>4460</v>
      </c>
      <c r="U50" s="169">
        <v>202.1</v>
      </c>
      <c r="V50" s="99">
        <f>U50*(1+$R$68+$Q$15*S50/36500)</f>
        <v>204.82862684931507</v>
      </c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5"/>
        <v>128</v>
      </c>
      <c r="AL50" s="113">
        <f t="shared" si="6"/>
        <v>-1062350336</v>
      </c>
      <c r="AM50" s="99"/>
    </row>
    <row r="51" spans="1:39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69" t="s">
        <v>25</v>
      </c>
      <c r="L51" s="117"/>
      <c r="M51" s="169" t="s">
        <v>4189</v>
      </c>
      <c r="N51" s="113">
        <f>-O51*P51</f>
        <v>-16587709.200000001</v>
      </c>
      <c r="O51" s="99">
        <v>82773</v>
      </c>
      <c r="P51" s="99">
        <f>P38</f>
        <v>200.4</v>
      </c>
      <c r="Q51" s="170">
        <v>2999436</v>
      </c>
      <c r="R51" s="169" t="s">
        <v>4465</v>
      </c>
      <c r="S51" s="169">
        <f>S50-3</f>
        <v>0</v>
      </c>
      <c r="T51" s="169" t="s">
        <v>4473</v>
      </c>
      <c r="U51" s="169">
        <v>5560.3</v>
      </c>
      <c r="V51" s="99">
        <f>U51*(1+$R$68+$Q$15*S51/36500)</f>
        <v>5622.5753600000007</v>
      </c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5"/>
        <v>126</v>
      </c>
      <c r="AL51" s="113">
        <f t="shared" si="6"/>
        <v>630000000</v>
      </c>
      <c r="AM51" s="99"/>
    </row>
    <row r="52" spans="1:39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69"/>
      <c r="L52" s="117"/>
      <c r="M52" s="169" t="s">
        <v>4478</v>
      </c>
      <c r="N52" s="113">
        <v>4098523</v>
      </c>
      <c r="O52" s="96"/>
      <c r="P52" s="96"/>
      <c r="Q52" s="170">
        <v>4629290</v>
      </c>
      <c r="R52" s="169" t="s">
        <v>4465</v>
      </c>
      <c r="S52" s="169">
        <f>S51</f>
        <v>0</v>
      </c>
      <c r="T52" s="169" t="s">
        <v>4477</v>
      </c>
      <c r="U52" s="169">
        <v>441.8</v>
      </c>
      <c r="V52" s="99">
        <f>U52*(1+$R$68+$Q$15*S52/36500)</f>
        <v>446.74816000000004</v>
      </c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5"/>
        <v>112</v>
      </c>
      <c r="AL52" s="113">
        <f t="shared" si="6"/>
        <v>-10080000</v>
      </c>
      <c r="AM52" s="99"/>
    </row>
    <row r="53" spans="1:39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169" t="s">
        <v>598</v>
      </c>
      <c r="L53" s="113">
        <f>SUM(L16:L42)</f>
        <v>280534620</v>
      </c>
      <c r="M53" s="169"/>
      <c r="N53" s="113">
        <f>SUM(N16:N52)</f>
        <v>392285140</v>
      </c>
      <c r="O53" t="s">
        <v>25</v>
      </c>
      <c r="Q53" s="170">
        <v>4489908</v>
      </c>
      <c r="R53" s="169" t="s">
        <v>4465</v>
      </c>
      <c r="S53" s="169">
        <f>S52</f>
        <v>0</v>
      </c>
      <c r="T53" s="169" t="s">
        <v>4474</v>
      </c>
      <c r="U53" s="169">
        <v>292.60000000000002</v>
      </c>
      <c r="V53" s="99">
        <f>U53*(1+$R$68+$Q$15*S53/36500)</f>
        <v>295.87712000000005</v>
      </c>
      <c r="X53" s="99" t="s">
        <v>4253</v>
      </c>
      <c r="Y53" s="99">
        <v>218</v>
      </c>
      <c r="Z53" s="99">
        <v>10000</v>
      </c>
      <c r="AA53" s="99" t="s">
        <v>61</v>
      </c>
      <c r="AB53" s="99">
        <v>224.5</v>
      </c>
      <c r="AC53" s="99" t="s">
        <v>4341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5"/>
        <v>111</v>
      </c>
      <c r="AL53" s="113">
        <f t="shared" si="6"/>
        <v>621600000</v>
      </c>
      <c r="AM53" s="99"/>
    </row>
    <row r="54" spans="1:39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169" t="s">
        <v>599</v>
      </c>
      <c r="L54" s="113">
        <f>L16+L17+L22</f>
        <v>1523202</v>
      </c>
      <c r="M54" s="169"/>
      <c r="N54" s="113">
        <f>N16+N17+N28</f>
        <v>-7447714</v>
      </c>
      <c r="Q54" s="170">
        <v>1421504</v>
      </c>
      <c r="R54" s="169" t="s">
        <v>4465</v>
      </c>
      <c r="S54" s="169">
        <f>S53</f>
        <v>0</v>
      </c>
      <c r="T54" s="169" t="s">
        <v>4475</v>
      </c>
      <c r="U54" s="169">
        <v>680</v>
      </c>
      <c r="V54" s="99">
        <f>U54*(1+$R$68+$Q$15*S54/36500)</f>
        <v>687.6160000000001</v>
      </c>
      <c r="X54" s="99" t="s">
        <v>4253</v>
      </c>
      <c r="Y54" s="99">
        <v>216.1</v>
      </c>
      <c r="Z54" s="99">
        <v>10000</v>
      </c>
      <c r="AA54" s="99" t="s">
        <v>61</v>
      </c>
      <c r="AB54" s="99">
        <v>222.5</v>
      </c>
      <c r="AC54" s="99" t="s">
        <v>4341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5"/>
        <v>107</v>
      </c>
      <c r="AL54" s="113">
        <f t="shared" si="6"/>
        <v>80250000</v>
      </c>
      <c r="AM54" s="99"/>
    </row>
    <row r="55" spans="1:39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K55" s="56" t="s">
        <v>716</v>
      </c>
      <c r="L55" s="1">
        <f>L53+N7</f>
        <v>350534620</v>
      </c>
      <c r="M55" s="113"/>
      <c r="N55" s="169"/>
      <c r="O55" s="22"/>
      <c r="Q55" s="170"/>
      <c r="R55" s="169"/>
      <c r="S55" s="169"/>
      <c r="T55" s="169"/>
      <c r="U55" s="169"/>
      <c r="V55" s="99"/>
      <c r="X55" s="99" t="s">
        <v>4253</v>
      </c>
      <c r="Y55" s="99">
        <v>215</v>
      </c>
      <c r="Z55" s="99">
        <v>24349</v>
      </c>
      <c r="AA55" s="99" t="s">
        <v>1020</v>
      </c>
      <c r="AB55" s="99">
        <v>221.5</v>
      </c>
      <c r="AC55" s="99" t="s">
        <v>4341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5"/>
        <v>105</v>
      </c>
      <c r="AL55" s="171">
        <f t="shared" si="6"/>
        <v>-445410000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M56" t="s">
        <v>4314</v>
      </c>
      <c r="P56" t="s">
        <v>25</v>
      </c>
      <c r="Q56" s="170"/>
      <c r="R56" s="169"/>
      <c r="S56" s="169"/>
      <c r="T56" s="169"/>
      <c r="U56" s="169"/>
      <c r="V56" s="99"/>
      <c r="X56" s="99" t="s">
        <v>4253</v>
      </c>
      <c r="Y56" s="99">
        <v>207</v>
      </c>
      <c r="Z56" s="99">
        <v>9625</v>
      </c>
      <c r="AA56" s="99" t="s">
        <v>61</v>
      </c>
      <c r="AB56" s="99">
        <v>215</v>
      </c>
      <c r="AC56" s="99" t="s">
        <v>4341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5"/>
        <v>103</v>
      </c>
      <c r="AL56" s="113">
        <f t="shared" si="6"/>
        <v>422300000</v>
      </c>
      <c r="AM56" s="99"/>
    </row>
    <row r="57" spans="1:39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s="25" t="s">
        <v>4117</v>
      </c>
      <c r="O57" t="s">
        <v>25</v>
      </c>
      <c r="Q57" s="113">
        <f>SUM(N37:N45)-SUM(Q39:Q56)</f>
        <v>6989382.6000000536</v>
      </c>
      <c r="R57" s="112"/>
      <c r="S57" s="112"/>
      <c r="T57" s="112"/>
      <c r="U57" s="169"/>
      <c r="V57" s="99" t="s">
        <v>25</v>
      </c>
      <c r="X57" s="99" t="s">
        <v>4253</v>
      </c>
      <c r="Y57" s="99">
        <v>203.9</v>
      </c>
      <c r="Z57" s="99">
        <v>6980</v>
      </c>
      <c r="AA57" s="99" t="s">
        <v>1020</v>
      </c>
      <c r="AB57" s="99">
        <v>210.2</v>
      </c>
      <c r="AC57" s="99" t="s">
        <v>4341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5"/>
        <v>103</v>
      </c>
      <c r="AL57" s="113">
        <f t="shared" si="6"/>
        <v>422300000</v>
      </c>
      <c r="AM57" s="99"/>
    </row>
    <row r="58" spans="1:39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M58" s="25" t="s">
        <v>4085</v>
      </c>
      <c r="Q58" s="26"/>
      <c r="R58" s="186"/>
      <c r="S58" s="186"/>
      <c r="T58" t="s">
        <v>25</v>
      </c>
      <c r="U58" s="96" t="s">
        <v>25</v>
      </c>
      <c r="V58" s="96" t="s">
        <v>25</v>
      </c>
      <c r="X58" s="99" t="s">
        <v>4253</v>
      </c>
      <c r="Y58" s="99">
        <v>203.1</v>
      </c>
      <c r="Z58" s="99">
        <v>6963</v>
      </c>
      <c r="AA58" s="99" t="s">
        <v>61</v>
      </c>
      <c r="AB58" s="99">
        <v>209.4</v>
      </c>
      <c r="AC58" s="99" t="s">
        <v>4341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5"/>
        <v>102</v>
      </c>
      <c r="AL58" s="113">
        <f t="shared" si="6"/>
        <v>80580000</v>
      </c>
      <c r="AM58" s="99"/>
    </row>
    <row r="59" spans="1:39" ht="30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M59" s="178" t="s">
        <v>4121</v>
      </c>
      <c r="P59" t="s">
        <v>25</v>
      </c>
      <c r="R59" t="s">
        <v>25</v>
      </c>
      <c r="T59" t="s">
        <v>25</v>
      </c>
      <c r="U59" s="96" t="s">
        <v>25</v>
      </c>
      <c r="V59" s="96"/>
      <c r="X59" s="99" t="s">
        <v>4253</v>
      </c>
      <c r="Y59" s="99">
        <v>202.1</v>
      </c>
      <c r="Z59" s="99">
        <v>9904</v>
      </c>
      <c r="AA59" s="99" t="s">
        <v>61</v>
      </c>
      <c r="AB59" s="99">
        <v>208.5</v>
      </c>
      <c r="AC59" s="99" t="s">
        <v>4341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5"/>
        <v>87</v>
      </c>
      <c r="AL59" s="173">
        <f t="shared" si="6"/>
        <v>-336255000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K60" s="3"/>
      <c r="L60" s="11" t="s">
        <v>304</v>
      </c>
      <c r="M60" s="122"/>
      <c r="N60" s="96"/>
      <c r="P60" s="115"/>
      <c r="Q60" t="s">
        <v>25</v>
      </c>
      <c r="R60" t="s">
        <v>25</v>
      </c>
      <c r="T60" t="s">
        <v>25</v>
      </c>
      <c r="U60" s="96" t="s">
        <v>25</v>
      </c>
      <c r="X60" s="99"/>
      <c r="Y60" s="99"/>
      <c r="Z60" s="99"/>
      <c r="AA60" s="99"/>
      <c r="AB60" s="99"/>
      <c r="AC60" s="99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5"/>
        <v>81</v>
      </c>
      <c r="AL60" s="113">
        <f t="shared" si="6"/>
        <v>1522800000</v>
      </c>
      <c r="AM60" s="20"/>
    </row>
    <row r="61" spans="1:39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1" t="s">
        <v>305</v>
      </c>
      <c r="L61" s="1">
        <v>70000</v>
      </c>
      <c r="M61" s="122" t="s">
        <v>4315</v>
      </c>
      <c r="N61" s="96" t="s">
        <v>25</v>
      </c>
      <c r="P61" s="115"/>
      <c r="Q61" t="s">
        <v>25</v>
      </c>
      <c r="S61" t="s">
        <v>25</v>
      </c>
      <c r="U61" s="96" t="s">
        <v>25</v>
      </c>
      <c r="X61" s="99"/>
      <c r="Y61" s="169"/>
      <c r="Z61" s="169"/>
      <c r="AA61" s="99"/>
      <c r="AB61" s="99"/>
      <c r="AC61" s="99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5"/>
        <v>78</v>
      </c>
      <c r="AL61" s="113">
        <f t="shared" si="6"/>
        <v>39000000</v>
      </c>
      <c r="AM61" s="20"/>
    </row>
    <row r="62" spans="1:39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1" t="s">
        <v>321</v>
      </c>
      <c r="L62" s="1">
        <v>100000</v>
      </c>
      <c r="M62" s="122" t="s">
        <v>4316</v>
      </c>
      <c r="P62" s="115"/>
      <c r="Q62" s="96">
        <f>O38+O39+O19-O51</f>
        <v>1024263</v>
      </c>
      <c r="R62" s="113">
        <f>Q62*P38</f>
        <v>205262305.20000002</v>
      </c>
      <c r="S62" t="s">
        <v>25</v>
      </c>
      <c r="U62" s="96" t="s">
        <v>25</v>
      </c>
      <c r="V62" t="s">
        <v>25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77</v>
      </c>
      <c r="AL62" s="113">
        <f t="shared" si="6"/>
        <v>15400000</v>
      </c>
      <c r="AM62" s="20"/>
    </row>
    <row r="63" spans="1:39">
      <c r="E63" s="26"/>
      <c r="K63" s="1" t="s">
        <v>306</v>
      </c>
      <c r="L63" s="1">
        <v>80000</v>
      </c>
      <c r="M63" s="122" t="s">
        <v>4317</v>
      </c>
      <c r="P63" s="115"/>
      <c r="Q63" t="s">
        <v>4286</v>
      </c>
      <c r="R63" t="s">
        <v>4283</v>
      </c>
      <c r="U63" s="96" t="s">
        <v>25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5"/>
        <v>74</v>
      </c>
      <c r="AL63" s="113">
        <f t="shared" si="6"/>
        <v>74000000</v>
      </c>
      <c r="AM63" s="20"/>
    </row>
    <row r="64" spans="1:39">
      <c r="E64" s="26"/>
      <c r="K64" s="31" t="s">
        <v>307</v>
      </c>
      <c r="L64" s="1">
        <v>150000</v>
      </c>
      <c r="M64" s="122" t="s">
        <v>4318</v>
      </c>
      <c r="P64" s="115"/>
      <c r="R64" t="s">
        <v>25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71</v>
      </c>
      <c r="AL64" s="113">
        <f t="shared" si="6"/>
        <v>92300000</v>
      </c>
      <c r="AM64" s="20"/>
    </row>
    <row r="65" spans="1:39">
      <c r="K65" s="31" t="s">
        <v>308</v>
      </c>
      <c r="L65" s="1">
        <v>300000</v>
      </c>
      <c r="M65" s="191" t="s">
        <v>4319</v>
      </c>
      <c r="P65" s="115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2">AK66+AJ65</f>
        <v>71</v>
      </c>
      <c r="AL65" s="113">
        <f t="shared" si="6"/>
        <v>70645000</v>
      </c>
      <c r="AM65" s="20"/>
    </row>
    <row r="66" spans="1:39">
      <c r="K66" s="31" t="s">
        <v>309</v>
      </c>
      <c r="L66" s="1">
        <v>100000</v>
      </c>
      <c r="M66" s="192" t="s">
        <v>4322</v>
      </c>
      <c r="P66" s="115"/>
      <c r="Q66" t="s">
        <v>950</v>
      </c>
      <c r="R66">
        <v>6.3E-3</v>
      </c>
      <c r="T66" t="s">
        <v>25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2"/>
        <v>69</v>
      </c>
      <c r="AL66" s="113">
        <f t="shared" si="6"/>
        <v>897000000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310</v>
      </c>
      <c r="L67" s="1">
        <v>200000</v>
      </c>
      <c r="M67" s="122" t="s">
        <v>4337</v>
      </c>
      <c r="P67" s="115"/>
      <c r="Q67" t="s">
        <v>61</v>
      </c>
      <c r="R67">
        <v>4.8999999999999998E-3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2"/>
        <v>67</v>
      </c>
      <c r="AL67" s="113">
        <f t="shared" si="6"/>
        <v>-207700000</v>
      </c>
      <c r="AM67" s="20"/>
    </row>
    <row r="68" spans="1:39">
      <c r="F68" t="s">
        <v>4108</v>
      </c>
      <c r="G68" t="s">
        <v>4103</v>
      </c>
      <c r="K68" s="18" t="s">
        <v>311</v>
      </c>
      <c r="L68" s="18">
        <v>300000</v>
      </c>
      <c r="M68" s="96"/>
      <c r="P68" s="115"/>
      <c r="Q68" t="s">
        <v>6</v>
      </c>
      <c r="R68">
        <f>R66+R67</f>
        <v>1.12E-2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2"/>
        <v>64</v>
      </c>
      <c r="AL68" s="113">
        <f t="shared" si="6"/>
        <v>2920960000</v>
      </c>
      <c r="AM68" s="20"/>
    </row>
    <row r="69" spans="1:39">
      <c r="F69" t="s">
        <v>4109</v>
      </c>
      <c r="G69" t="s">
        <v>4105</v>
      </c>
      <c r="K69" s="32" t="s">
        <v>312</v>
      </c>
      <c r="L69" s="1">
        <v>200000</v>
      </c>
      <c r="M69" s="96"/>
      <c r="N69" s="96"/>
      <c r="O69" s="96"/>
      <c r="P69" s="115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2"/>
        <v>63</v>
      </c>
      <c r="AL69" s="113">
        <f t="shared" si="6"/>
        <v>2110500000</v>
      </c>
      <c r="AM69" s="20"/>
    </row>
    <row r="70" spans="1:39">
      <c r="G70" t="s">
        <v>4106</v>
      </c>
      <c r="K70" s="32" t="s">
        <v>313</v>
      </c>
      <c r="L70" s="1">
        <v>20000</v>
      </c>
      <c r="M70" s="96"/>
      <c r="N70" s="96"/>
      <c r="O70" s="96"/>
      <c r="P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2"/>
        <v>62</v>
      </c>
      <c r="AL70" s="117">
        <f t="shared" si="6"/>
        <v>744000000</v>
      </c>
      <c r="AM70" s="20"/>
    </row>
    <row r="71" spans="1:39">
      <c r="G71" t="s">
        <v>4107</v>
      </c>
      <c r="K71" s="32" t="s">
        <v>315</v>
      </c>
      <c r="L71" s="1">
        <v>50000</v>
      </c>
      <c r="M71" s="96"/>
      <c r="N71" s="96"/>
      <c r="O71" s="96"/>
      <c r="P71" s="115"/>
      <c r="AD71" s="115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2"/>
        <v>61</v>
      </c>
      <c r="AL71" s="117">
        <f t="shared" si="6"/>
        <v>945500000</v>
      </c>
      <c r="AM71" s="20"/>
    </row>
    <row r="72" spans="1:39">
      <c r="G72" t="s">
        <v>4111</v>
      </c>
      <c r="K72" s="32" t="s">
        <v>316</v>
      </c>
      <c r="L72" s="1">
        <v>90000</v>
      </c>
      <c r="M72" s="96"/>
      <c r="N72" s="96"/>
      <c r="O72" s="96"/>
      <c r="P72" s="115"/>
      <c r="AD72" s="115"/>
      <c r="AE72" s="115"/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2"/>
        <v>57</v>
      </c>
      <c r="AL72" s="117">
        <f t="shared" si="6"/>
        <v>8550000</v>
      </c>
      <c r="AM72" s="20"/>
    </row>
    <row r="73" spans="1:39">
      <c r="G73" t="s">
        <v>4110</v>
      </c>
      <c r="K73" s="32" t="s">
        <v>317</v>
      </c>
      <c r="L73" s="1">
        <v>50000</v>
      </c>
      <c r="M73" s="96"/>
      <c r="N73" s="96"/>
      <c r="O73" s="96"/>
      <c r="P73" s="115"/>
      <c r="X73" s="115"/>
      <c r="AD73" s="115"/>
      <c r="AE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2"/>
        <v>56</v>
      </c>
      <c r="AL73" s="182">
        <f t="shared" si="6"/>
        <v>1624000000</v>
      </c>
      <c r="AM73" s="181" t="s">
        <v>4195</v>
      </c>
    </row>
    <row r="74" spans="1:39">
      <c r="K74" s="32" t="s">
        <v>327</v>
      </c>
      <c r="L74" s="1">
        <v>150000</v>
      </c>
      <c r="M74" s="96"/>
      <c r="N74" s="96"/>
      <c r="O74" s="96"/>
      <c r="P74" s="115"/>
      <c r="Q74" s="186"/>
      <c r="R74" s="186"/>
      <c r="S74" s="115"/>
      <c r="X74" s="163"/>
      <c r="AD74" s="115"/>
      <c r="AE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2"/>
        <v>41</v>
      </c>
      <c r="AL74" s="117">
        <f t="shared" si="6"/>
        <v>-5330000</v>
      </c>
      <c r="AM74" s="20" t="s">
        <v>4221</v>
      </c>
    </row>
    <row r="75" spans="1:39">
      <c r="K75" s="32" t="s">
        <v>318</v>
      </c>
      <c r="L75" s="1">
        <v>15000</v>
      </c>
      <c r="N75" s="96"/>
      <c r="P75" s="115"/>
      <c r="Q75" s="115"/>
      <c r="R75" s="115"/>
      <c r="S75" s="115"/>
      <c r="X75" s="115"/>
      <c r="Y75" s="115"/>
      <c r="Z75" s="115"/>
      <c r="AA75" s="115"/>
      <c r="AB75" s="115"/>
      <c r="AC75" s="115"/>
      <c r="AD75" s="115"/>
      <c r="AE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2"/>
        <v>34</v>
      </c>
      <c r="AL75" s="117">
        <f>AI75*AK75</f>
        <v>7888000</v>
      </c>
      <c r="AM75" s="20" t="s">
        <v>4277</v>
      </c>
    </row>
    <row r="76" spans="1:39">
      <c r="K76" s="32" t="s">
        <v>319</v>
      </c>
      <c r="L76" s="1">
        <v>20000</v>
      </c>
      <c r="N76" s="96"/>
      <c r="P76" s="115"/>
      <c r="Q76" s="115"/>
      <c r="R76" s="115"/>
      <c r="S76" s="115"/>
      <c r="X76" s="115"/>
      <c r="Y76" s="128"/>
      <c r="Z76" s="115"/>
      <c r="AA76" s="115"/>
      <c r="AB76" s="115"/>
      <c r="AC76" s="128"/>
      <c r="AD76" s="115"/>
      <c r="AE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2"/>
        <v>32</v>
      </c>
      <c r="AL76" s="117">
        <f t="shared" si="6"/>
        <v>-5440000</v>
      </c>
      <c r="AM76" s="20"/>
    </row>
    <row r="77" spans="1:39">
      <c r="K77" s="32" t="s">
        <v>320</v>
      </c>
      <c r="L77" s="1">
        <v>40000</v>
      </c>
      <c r="N77" s="96"/>
      <c r="P77" s="115"/>
      <c r="Q77" s="115"/>
      <c r="R77" s="115"/>
      <c r="S77" s="115"/>
      <c r="X77" s="115"/>
      <c r="Y77" s="128"/>
      <c r="Z77" s="115"/>
      <c r="AA77" s="115"/>
      <c r="AB77" s="115"/>
      <c r="AC77" s="128"/>
      <c r="AD77" s="115"/>
      <c r="AE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2"/>
        <v>29</v>
      </c>
      <c r="AL77" s="117">
        <f t="shared" si="6"/>
        <v>-8700000</v>
      </c>
      <c r="AM77" s="20"/>
    </row>
    <row r="78" spans="1:39">
      <c r="K78" s="32" t="s">
        <v>322</v>
      </c>
      <c r="L78" s="1">
        <v>150000</v>
      </c>
      <c r="N78" s="96"/>
      <c r="P78" s="115"/>
      <c r="Q78" s="115"/>
      <c r="R78" s="115"/>
      <c r="S78" s="115"/>
      <c r="X78" s="115"/>
      <c r="Y78" s="128"/>
      <c r="Z78" s="115"/>
      <c r="AA78" s="115"/>
      <c r="AB78" s="115"/>
      <c r="AC78" s="128"/>
      <c r="AD78" s="115"/>
      <c r="AE78" s="115"/>
      <c r="AG78" s="20">
        <v>58</v>
      </c>
      <c r="AH78" s="117" t="s">
        <v>4330</v>
      </c>
      <c r="AI78" s="117">
        <v>-11400000</v>
      </c>
      <c r="AJ78" s="20">
        <v>13</v>
      </c>
      <c r="AK78" s="99">
        <f t="shared" si="12"/>
        <v>26</v>
      </c>
      <c r="AL78" s="117">
        <f t="shared" si="6"/>
        <v>-296400000</v>
      </c>
      <c r="AM78" s="20"/>
    </row>
    <row r="79" spans="1:39">
      <c r="K79" s="32" t="s">
        <v>324</v>
      </c>
      <c r="L79" s="1">
        <v>75000</v>
      </c>
      <c r="P79" s="115"/>
      <c r="Q79" s="115"/>
      <c r="R79" s="115"/>
      <c r="S79" s="115"/>
      <c r="X79" s="115"/>
      <c r="Y79" s="128"/>
      <c r="Z79" s="115"/>
      <c r="AA79" s="115"/>
      <c r="AB79" s="115"/>
      <c r="AC79" s="128"/>
      <c r="AD79" s="115"/>
      <c r="AE79" s="115"/>
      <c r="AG79" s="20">
        <v>59</v>
      </c>
      <c r="AH79" s="117" t="s">
        <v>4399</v>
      </c>
      <c r="AI79" s="117">
        <v>-10000000</v>
      </c>
      <c r="AJ79" s="20">
        <v>1</v>
      </c>
      <c r="AK79" s="99">
        <f t="shared" si="12"/>
        <v>13</v>
      </c>
      <c r="AL79" s="117">
        <f t="shared" si="6"/>
        <v>-130000000</v>
      </c>
      <c r="AM79" s="20"/>
    </row>
    <row r="80" spans="1:39">
      <c r="K80" s="32" t="s">
        <v>314</v>
      </c>
      <c r="L80" s="1">
        <v>140000</v>
      </c>
      <c r="P80" s="115"/>
      <c r="Q80" s="115"/>
      <c r="R80" s="115"/>
      <c r="S80" s="115"/>
      <c r="X80" s="115"/>
      <c r="Y80" s="128"/>
      <c r="Z80" s="115"/>
      <c r="AA80" s="115"/>
      <c r="AB80" s="115"/>
      <c r="AC80" s="128"/>
      <c r="AD80" s="115"/>
      <c r="AE80" s="115"/>
      <c r="AG80" s="20">
        <v>60</v>
      </c>
      <c r="AH80" s="117" t="s">
        <v>4400</v>
      </c>
      <c r="AI80" s="117">
        <v>-2450000</v>
      </c>
      <c r="AJ80" s="20">
        <v>5</v>
      </c>
      <c r="AK80" s="99">
        <f t="shared" si="12"/>
        <v>12</v>
      </c>
      <c r="AL80" s="117">
        <f t="shared" si="6"/>
        <v>-29400000</v>
      </c>
      <c r="AM80" s="20"/>
    </row>
    <row r="81" spans="11:51">
      <c r="K81" s="2" t="s">
        <v>478</v>
      </c>
      <c r="L81" s="3">
        <v>1083333</v>
      </c>
      <c r="P81" s="115"/>
      <c r="Q81" s="115"/>
      <c r="R81" s="115"/>
      <c r="S81" s="115"/>
      <c r="X81" s="115"/>
      <c r="Y81" s="128"/>
      <c r="Z81" s="115"/>
      <c r="AA81" s="115"/>
      <c r="AB81" s="115"/>
      <c r="AC81" s="128"/>
      <c r="AD81" s="115"/>
      <c r="AE81" s="115"/>
      <c r="AG81" s="20">
        <v>61</v>
      </c>
      <c r="AH81" s="117" t="s">
        <v>4428</v>
      </c>
      <c r="AI81" s="117">
        <v>-456081</v>
      </c>
      <c r="AJ81" s="20">
        <v>1</v>
      </c>
      <c r="AK81" s="99">
        <f t="shared" si="12"/>
        <v>7</v>
      </c>
      <c r="AL81" s="117">
        <f t="shared" si="6"/>
        <v>-3192567</v>
      </c>
      <c r="AM81" s="20"/>
    </row>
    <row r="82" spans="11:51">
      <c r="K82" s="2"/>
      <c r="L82" s="3"/>
      <c r="P82" s="128"/>
      <c r="Q82" s="115"/>
      <c r="R82" s="115"/>
      <c r="S82" s="115"/>
      <c r="X82" s="115"/>
      <c r="Y82" s="115"/>
      <c r="Z82" s="115"/>
      <c r="AA82" s="115"/>
      <c r="AB82" s="115"/>
      <c r="AC82" s="115"/>
      <c r="AD82" s="115"/>
      <c r="AE82" s="115"/>
      <c r="AG82" s="20">
        <v>62</v>
      </c>
      <c r="AH82" s="117" t="s">
        <v>4431</v>
      </c>
      <c r="AI82" s="117">
        <v>-500000</v>
      </c>
      <c r="AJ82" s="20">
        <v>2</v>
      </c>
      <c r="AK82" s="99">
        <f t="shared" si="12"/>
        <v>6</v>
      </c>
      <c r="AL82" s="117">
        <f t="shared" si="6"/>
        <v>-3000000</v>
      </c>
      <c r="AM82" s="20"/>
      <c r="AN82" t="s">
        <v>25</v>
      </c>
      <c r="AQ82" t="s">
        <v>25</v>
      </c>
      <c r="AV82" t="s">
        <v>25</v>
      </c>
    </row>
    <row r="83" spans="11:51">
      <c r="K83" s="2"/>
      <c r="L83" s="3"/>
      <c r="P83" s="128"/>
      <c r="Q83" s="115"/>
      <c r="R83" s="115"/>
      <c r="S83" s="115"/>
      <c r="X83" s="115"/>
      <c r="Y83" s="115"/>
      <c r="Z83" s="115"/>
      <c r="AA83" s="115"/>
      <c r="AB83" s="115"/>
      <c r="AC83" s="115"/>
      <c r="AE83" s="115"/>
      <c r="AG83" s="20">
        <v>63</v>
      </c>
      <c r="AH83" s="117" t="s">
        <v>4454</v>
      </c>
      <c r="AI83" s="117">
        <v>-6234370</v>
      </c>
      <c r="AJ83" s="20">
        <v>3</v>
      </c>
      <c r="AK83" s="99">
        <f t="shared" si="12"/>
        <v>4</v>
      </c>
      <c r="AL83" s="117">
        <f t="shared" si="6"/>
        <v>-24937480</v>
      </c>
      <c r="AM83" s="20"/>
    </row>
    <row r="84" spans="11:51">
      <c r="K84" s="2" t="s">
        <v>6</v>
      </c>
      <c r="L84" s="3">
        <f>SUM(L61:L82)</f>
        <v>3383333</v>
      </c>
      <c r="P84" s="115"/>
      <c r="Q84" s="115"/>
      <c r="R84" s="115"/>
      <c r="S84" s="115"/>
      <c r="X84" s="115"/>
      <c r="Y84" s="115"/>
      <c r="Z84" s="115"/>
      <c r="AG84" s="20">
        <v>64</v>
      </c>
      <c r="AH84" s="117" t="s">
        <v>4465</v>
      </c>
      <c r="AI84" s="117">
        <v>1950957</v>
      </c>
      <c r="AJ84" s="20">
        <v>1</v>
      </c>
      <c r="AK84" s="99">
        <f t="shared" si="12"/>
        <v>1</v>
      </c>
      <c r="AL84" s="117">
        <f t="shared" si="6"/>
        <v>1950957</v>
      </c>
      <c r="AM84" s="20"/>
      <c r="AY84" t="s">
        <v>25</v>
      </c>
    </row>
    <row r="85" spans="11:51">
      <c r="K85" s="2" t="s">
        <v>328</v>
      </c>
      <c r="L85" s="3">
        <f>L84/30</f>
        <v>112777.76666666666</v>
      </c>
      <c r="Q85" s="115"/>
      <c r="R85" s="115"/>
      <c r="S85" s="115"/>
      <c r="Y85" s="115"/>
      <c r="Z85" s="115"/>
      <c r="AG85" s="20" t="s">
        <v>25</v>
      </c>
      <c r="AH85" s="117"/>
      <c r="AI85" s="117"/>
      <c r="AJ85" s="20"/>
      <c r="AK85" s="99">
        <f t="shared" si="12"/>
        <v>0</v>
      </c>
      <c r="AL85" s="117">
        <f t="shared" si="6"/>
        <v>0</v>
      </c>
      <c r="AM85" s="20"/>
      <c r="AU85" t="s">
        <v>25</v>
      </c>
    </row>
    <row r="86" spans="11:51">
      <c r="O86" s="115"/>
      <c r="Q86" s="115"/>
      <c r="R86" s="115"/>
      <c r="S86" s="115"/>
      <c r="Y86" s="115"/>
      <c r="Z86" s="115"/>
      <c r="AG86" s="20"/>
      <c r="AH86" s="117"/>
      <c r="AI86" s="117"/>
      <c r="AJ86" s="20"/>
      <c r="AK86" s="99">
        <f t="shared" si="12"/>
        <v>0</v>
      </c>
      <c r="AL86" s="117">
        <f t="shared" si="6"/>
        <v>0</v>
      </c>
      <c r="AM86" s="20"/>
    </row>
    <row r="87" spans="11:51">
      <c r="O87" s="115"/>
      <c r="Q87" s="115"/>
      <c r="R87" s="115"/>
      <c r="S87" s="115"/>
      <c r="T87" s="115"/>
      <c r="U87" s="115"/>
      <c r="AG87" s="99"/>
      <c r="AH87" s="113"/>
      <c r="AI87" s="113"/>
      <c r="AJ87" s="99"/>
      <c r="AK87" s="99">
        <f t="shared" si="12"/>
        <v>0</v>
      </c>
      <c r="AL87" s="117">
        <f t="shared" si="6"/>
        <v>0</v>
      </c>
      <c r="AM87" s="99"/>
      <c r="AT87" s="96" t="s">
        <v>25</v>
      </c>
    </row>
    <row r="88" spans="11:51">
      <c r="Q88" s="115"/>
      <c r="R88" s="115"/>
      <c r="S88" s="115"/>
      <c r="T88" s="115"/>
      <c r="U88" s="115"/>
      <c r="AG88" s="99"/>
      <c r="AH88" s="113"/>
      <c r="AI88" s="113"/>
      <c r="AJ88" s="99"/>
      <c r="AK88" s="99">
        <f t="shared" si="12"/>
        <v>0</v>
      </c>
      <c r="AL88" s="117">
        <f t="shared" si="6"/>
        <v>0</v>
      </c>
      <c r="AM88" s="99"/>
      <c r="AT88" s="96" t="s">
        <v>25</v>
      </c>
    </row>
    <row r="89" spans="11:51">
      <c r="Q89" s="55"/>
      <c r="R89" s="187"/>
      <c r="S89" s="115"/>
      <c r="T89" s="115"/>
      <c r="U89" s="115"/>
      <c r="AG89" s="99"/>
      <c r="AH89" s="99"/>
      <c r="AI89" s="95">
        <f>SUM(AI20:AI87)</f>
        <v>193134405</v>
      </c>
      <c r="AJ89" s="99"/>
      <c r="AK89" s="99"/>
      <c r="AL89" s="95">
        <f>SUM(AL20:AL88)</f>
        <v>19432406520</v>
      </c>
      <c r="AM89" s="95">
        <f>AL89*AM92/31</f>
        <v>12537036.464516129</v>
      </c>
      <c r="AP89" t="s">
        <v>25</v>
      </c>
      <c r="AU89" t="s">
        <v>25</v>
      </c>
    </row>
    <row r="90" spans="11:51">
      <c r="Q90" s="55"/>
      <c r="R90" s="187"/>
      <c r="S90" s="115"/>
      <c r="T90" s="115"/>
      <c r="U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K91" s="48" t="s">
        <v>788</v>
      </c>
      <c r="L91" s="48" t="s">
        <v>476</v>
      </c>
      <c r="Q91" s="26"/>
      <c r="R91" s="187"/>
      <c r="S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47">
        <v>700000</v>
      </c>
      <c r="L92" s="48" t="s">
        <v>1040</v>
      </c>
      <c r="Q92" s="55"/>
      <c r="R92" s="187"/>
      <c r="S92" s="122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7">
        <v>500000</v>
      </c>
      <c r="L93" s="48" t="s">
        <v>479</v>
      </c>
      <c r="Q93" s="55"/>
      <c r="R93" s="187"/>
      <c r="S93" s="115"/>
      <c r="AG93" s="99"/>
      <c r="AH93" s="99"/>
      <c r="AI93" s="99"/>
      <c r="AJ93" s="99"/>
      <c r="AK93" s="99"/>
      <c r="AL93" s="99"/>
      <c r="AM93" s="99"/>
    </row>
    <row r="94" spans="11:51">
      <c r="K94" s="47">
        <v>180000</v>
      </c>
      <c r="L94" s="48" t="s">
        <v>558</v>
      </c>
      <c r="Q94" s="122"/>
      <c r="R94" s="115"/>
      <c r="S94" s="115"/>
      <c r="AG94" s="99"/>
      <c r="AH94" s="99" t="s">
        <v>4066</v>
      </c>
      <c r="AI94" s="95">
        <f>AI89+AM89</f>
        <v>205671441.46451613</v>
      </c>
      <c r="AJ94" s="99"/>
      <c r="AK94" s="99"/>
      <c r="AL94" s="99"/>
      <c r="AM94" s="99"/>
    </row>
    <row r="95" spans="11:51">
      <c r="K95" s="47">
        <v>0</v>
      </c>
      <c r="L95" s="48" t="s">
        <v>784</v>
      </c>
      <c r="AH95" t="s">
        <v>4069</v>
      </c>
      <c r="AI95" s="114">
        <f>SUM(N37:N44)-N39+N35</f>
        <v>229901008.20000005</v>
      </c>
    </row>
    <row r="96" spans="11:51">
      <c r="K96" s="47">
        <v>0</v>
      </c>
      <c r="L96" s="48" t="s">
        <v>785</v>
      </c>
      <c r="AH96" t="s">
        <v>4143</v>
      </c>
      <c r="AI96" s="114">
        <f>AI95-AI89</f>
        <v>36766603.200000048</v>
      </c>
    </row>
    <row r="97" spans="8:39">
      <c r="K97" s="47">
        <v>500000</v>
      </c>
      <c r="L97" s="48" t="s">
        <v>786</v>
      </c>
      <c r="Q97" s="22"/>
      <c r="AH97" t="s">
        <v>944</v>
      </c>
      <c r="AI97" s="114">
        <f>AM89</f>
        <v>12537036.464516129</v>
      </c>
    </row>
    <row r="98" spans="8:39">
      <c r="H98" s="96"/>
      <c r="K98" s="47">
        <v>75000</v>
      </c>
      <c r="L98" s="48" t="s">
        <v>787</v>
      </c>
      <c r="AH98" t="s">
        <v>4070</v>
      </c>
      <c r="AI98" s="114">
        <f>AI95-AI94</f>
        <v>24229566.735483915</v>
      </c>
    </row>
    <row r="99" spans="8:39">
      <c r="K99" s="47">
        <v>0</v>
      </c>
      <c r="L99" s="48" t="s">
        <v>789</v>
      </c>
    </row>
    <row r="100" spans="8:39">
      <c r="K100" s="47">
        <v>500000</v>
      </c>
      <c r="L100" s="48" t="s">
        <v>564</v>
      </c>
      <c r="AI100" t="s">
        <v>25</v>
      </c>
    </row>
    <row r="101" spans="8:39">
      <c r="K101" s="47">
        <v>50000</v>
      </c>
      <c r="L101" s="48" t="s">
        <v>792</v>
      </c>
    </row>
    <row r="102" spans="8:39">
      <c r="K102" s="47">
        <v>140000</v>
      </c>
      <c r="L102" s="48" t="s">
        <v>314</v>
      </c>
    </row>
    <row r="103" spans="8:39">
      <c r="K103" s="47"/>
      <c r="L103" s="48" t="s">
        <v>25</v>
      </c>
    </row>
    <row r="104" spans="8:39">
      <c r="K104" s="47">
        <f>SUM(K92:K103)</f>
        <v>2645000</v>
      </c>
      <c r="L104" s="48" t="s">
        <v>6</v>
      </c>
    </row>
    <row r="105" spans="8:39"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4332</v>
      </c>
    </row>
    <row r="106" spans="8:39"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121</v>
      </c>
      <c r="AL106" s="99">
        <f>AI106*AK106</f>
        <v>430254220</v>
      </c>
      <c r="AM106" s="99" t="s">
        <v>4361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3">AJ107+AK108</f>
        <v>119</v>
      </c>
      <c r="AL107" s="99">
        <f t="shared" ref="AL107:AL129" si="14">AI107*AK107</f>
        <v>204779603</v>
      </c>
      <c r="AM107" s="99" t="s">
        <v>4362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3"/>
        <v>68</v>
      </c>
      <c r="AL108" s="99">
        <f t="shared" si="14"/>
        <v>10200000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3"/>
        <v>65</v>
      </c>
      <c r="AL109" s="99">
        <f t="shared" si="14"/>
        <v>-6175000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3"/>
        <v>57</v>
      </c>
      <c r="AL110" s="99">
        <f t="shared" si="14"/>
        <v>179550000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3"/>
        <v>41</v>
      </c>
      <c r="AL111" s="99">
        <f t="shared" si="14"/>
        <v>-2665000</v>
      </c>
      <c r="AM111" s="99"/>
    </row>
    <row r="112" spans="8:39">
      <c r="AG112" s="99">
        <v>7</v>
      </c>
      <c r="AH112" s="99" t="s">
        <v>4363</v>
      </c>
      <c r="AI112" s="117">
        <v>-95000</v>
      </c>
      <c r="AJ112" s="99">
        <v>6</v>
      </c>
      <c r="AK112" s="99">
        <f t="shared" si="13"/>
        <v>40</v>
      </c>
      <c r="AL112" s="99">
        <f t="shared" si="14"/>
        <v>-3800000</v>
      </c>
      <c r="AM112" s="99"/>
    </row>
    <row r="113" spans="33:42">
      <c r="AG113" s="99">
        <v>8</v>
      </c>
      <c r="AH113" s="99" t="s">
        <v>4364</v>
      </c>
      <c r="AI113" s="117">
        <v>232000</v>
      </c>
      <c r="AJ113" s="99">
        <v>7</v>
      </c>
      <c r="AK113" s="99">
        <f t="shared" si="13"/>
        <v>34</v>
      </c>
      <c r="AL113" s="99">
        <f t="shared" si="14"/>
        <v>7888000</v>
      </c>
      <c r="AM113" s="99"/>
    </row>
    <row r="114" spans="33:42">
      <c r="AG114" s="99">
        <v>9</v>
      </c>
      <c r="AH114" s="99" t="s">
        <v>4330</v>
      </c>
      <c r="AI114" s="117">
        <v>13000000</v>
      </c>
      <c r="AJ114" s="99">
        <v>2</v>
      </c>
      <c r="AK114" s="99">
        <f t="shared" si="13"/>
        <v>27</v>
      </c>
      <c r="AL114" s="99">
        <f t="shared" si="14"/>
        <v>351000000</v>
      </c>
      <c r="AM114" s="99"/>
    </row>
    <row r="115" spans="33:42">
      <c r="AG115" s="99">
        <v>10</v>
      </c>
      <c r="AH115" s="99" t="s">
        <v>4365</v>
      </c>
      <c r="AI115" s="117">
        <v>10000000</v>
      </c>
      <c r="AJ115" s="99">
        <v>3</v>
      </c>
      <c r="AK115" s="99">
        <f t="shared" si="13"/>
        <v>25</v>
      </c>
      <c r="AL115" s="99">
        <f t="shared" si="14"/>
        <v>250000000</v>
      </c>
      <c r="AM115" s="99"/>
    </row>
    <row r="116" spans="33:42">
      <c r="AG116" s="99">
        <v>11</v>
      </c>
      <c r="AH116" s="99" t="s">
        <v>4346</v>
      </c>
      <c r="AI116" s="117">
        <v>3400000</v>
      </c>
      <c r="AJ116" s="99">
        <v>9</v>
      </c>
      <c r="AK116" s="99">
        <f t="shared" si="13"/>
        <v>22</v>
      </c>
      <c r="AL116" s="99">
        <f t="shared" si="14"/>
        <v>74800000</v>
      </c>
      <c r="AM116" s="99"/>
    </row>
    <row r="117" spans="33:42">
      <c r="AG117" s="99">
        <v>12</v>
      </c>
      <c r="AH117" s="99" t="s">
        <v>4399</v>
      </c>
      <c r="AI117" s="117">
        <v>-8736514</v>
      </c>
      <c r="AJ117" s="99">
        <v>1</v>
      </c>
      <c r="AK117" s="99">
        <f>AJ117+AK118</f>
        <v>13</v>
      </c>
      <c r="AL117" s="99">
        <f t="shared" si="14"/>
        <v>-113574682</v>
      </c>
      <c r="AM117" s="99"/>
    </row>
    <row r="118" spans="33:42">
      <c r="AG118" s="99">
        <v>13</v>
      </c>
      <c r="AH118" s="99" t="s">
        <v>4400</v>
      </c>
      <c r="AI118" s="117">
        <v>555000</v>
      </c>
      <c r="AJ118" s="99">
        <v>5</v>
      </c>
      <c r="AK118" s="99">
        <f t="shared" ref="AK118:AK128" si="15">AJ118+AK119</f>
        <v>12</v>
      </c>
      <c r="AL118" s="99">
        <f t="shared" si="14"/>
        <v>6660000</v>
      </c>
      <c r="AM118" s="99"/>
    </row>
    <row r="119" spans="33:42">
      <c r="AG119" s="99">
        <v>14</v>
      </c>
      <c r="AH119" s="99" t="s">
        <v>4428</v>
      </c>
      <c r="AI119" s="117">
        <v>-448308</v>
      </c>
      <c r="AJ119" s="99">
        <v>6</v>
      </c>
      <c r="AK119" s="99">
        <f t="shared" si="15"/>
        <v>7</v>
      </c>
      <c r="AL119" s="99">
        <f t="shared" si="14"/>
        <v>-3138156</v>
      </c>
      <c r="AM119" s="99"/>
      <c r="AP119" t="s">
        <v>25</v>
      </c>
    </row>
    <row r="120" spans="33:42">
      <c r="AG120" s="99">
        <v>15</v>
      </c>
      <c r="AH120" s="99" t="s">
        <v>4465</v>
      </c>
      <c r="AI120" s="117">
        <v>33225</v>
      </c>
      <c r="AJ120" s="99">
        <v>1</v>
      </c>
      <c r="AK120" s="99">
        <f t="shared" si="15"/>
        <v>1</v>
      </c>
      <c r="AL120" s="99">
        <f t="shared" si="14"/>
        <v>33225</v>
      </c>
      <c r="AM120" s="99"/>
      <c r="AN120" t="s">
        <v>25</v>
      </c>
    </row>
    <row r="121" spans="33:42">
      <c r="AG121" s="99"/>
      <c r="AH121" s="99"/>
      <c r="AI121" s="117"/>
      <c r="AJ121" s="99"/>
      <c r="AK121" s="99">
        <f t="shared" si="15"/>
        <v>0</v>
      </c>
      <c r="AL121" s="99">
        <f t="shared" si="14"/>
        <v>0</v>
      </c>
      <c r="AM121" s="99"/>
      <c r="AO121" t="s">
        <v>25</v>
      </c>
    </row>
    <row r="122" spans="33:42">
      <c r="AG122" s="99"/>
      <c r="AH122" s="99"/>
      <c r="AI122" s="117"/>
      <c r="AJ122" s="99"/>
      <c r="AK122" s="99">
        <f t="shared" si="15"/>
        <v>0</v>
      </c>
      <c r="AL122" s="99">
        <f t="shared" si="14"/>
        <v>0</v>
      </c>
      <c r="AM122" s="99"/>
    </row>
    <row r="123" spans="33:42">
      <c r="AG123" s="99"/>
      <c r="AH123" s="99"/>
      <c r="AI123" s="117"/>
      <c r="AJ123" s="99"/>
      <c r="AK123" s="99">
        <f t="shared" si="15"/>
        <v>0</v>
      </c>
      <c r="AL123" s="99">
        <f t="shared" si="14"/>
        <v>0</v>
      </c>
      <c r="AM123" s="99"/>
    </row>
    <row r="124" spans="33:42">
      <c r="AG124" s="99"/>
      <c r="AH124" s="99"/>
      <c r="AI124" s="117"/>
      <c r="AJ124" s="99"/>
      <c r="AK124" s="99">
        <f t="shared" si="15"/>
        <v>0</v>
      </c>
      <c r="AL124" s="99">
        <f t="shared" si="14"/>
        <v>0</v>
      </c>
      <c r="AM124" s="99"/>
    </row>
    <row r="125" spans="33:42">
      <c r="AG125" s="99"/>
      <c r="AH125" s="99"/>
      <c r="AI125" s="117"/>
      <c r="AJ125" s="99"/>
      <c r="AK125" s="99">
        <f t="shared" si="15"/>
        <v>0</v>
      </c>
      <c r="AL125" s="99">
        <f t="shared" si="14"/>
        <v>0</v>
      </c>
      <c r="AM125" s="99"/>
    </row>
    <row r="126" spans="33:42">
      <c r="AG126" s="99"/>
      <c r="AH126" s="99"/>
      <c r="AI126" s="117"/>
      <c r="AJ126" s="99"/>
      <c r="AK126" s="99">
        <f t="shared" si="15"/>
        <v>0</v>
      </c>
      <c r="AL126" s="99">
        <f t="shared" si="14"/>
        <v>0</v>
      </c>
      <c r="AM126" s="99"/>
    </row>
    <row r="127" spans="33:42">
      <c r="AG127" s="99"/>
      <c r="AH127" s="99"/>
      <c r="AI127" s="117"/>
      <c r="AJ127" s="99"/>
      <c r="AK127" s="99">
        <f t="shared" si="15"/>
        <v>0</v>
      </c>
      <c r="AL127" s="99">
        <f t="shared" si="14"/>
        <v>0</v>
      </c>
      <c r="AM127" s="99"/>
    </row>
    <row r="128" spans="33:42">
      <c r="AG128" s="99"/>
      <c r="AH128" s="99"/>
      <c r="AI128" s="99"/>
      <c r="AJ128" s="99"/>
      <c r="AK128" s="99">
        <f t="shared" si="15"/>
        <v>0</v>
      </c>
      <c r="AL128" s="99">
        <f t="shared" si="14"/>
        <v>0</v>
      </c>
      <c r="AM128" s="99"/>
    </row>
    <row r="129" spans="33:39">
      <c r="AG129" s="99"/>
      <c r="AH129" s="99"/>
      <c r="AI129" s="99"/>
      <c r="AJ129" s="99"/>
      <c r="AK129" s="99">
        <f t="shared" si="13"/>
        <v>0</v>
      </c>
      <c r="AL129" s="99">
        <f t="shared" si="14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26357060</v>
      </c>
      <c r="AJ131" s="99"/>
      <c r="AK131" s="99"/>
      <c r="AL131" s="99">
        <f>SUM(AL106:AL130)</f>
        <v>1385812210</v>
      </c>
      <c r="AM131" s="95">
        <f>AL131*AM92/31</f>
        <v>894072.3935483871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27251132.393548388</v>
      </c>
    </row>
    <row r="135" spans="33:39">
      <c r="AH135" t="s">
        <v>4069</v>
      </c>
      <c r="AI135" s="114">
        <f>SUM(N19:N25)+N30</f>
        <v>27431418.600000001</v>
      </c>
    </row>
    <row r="136" spans="33:39">
      <c r="AH136" t="s">
        <v>4143</v>
      </c>
      <c r="AI136" s="114">
        <f>AI135-AI131</f>
        <v>1074358.6000000015</v>
      </c>
    </row>
    <row r="137" spans="33:39">
      <c r="AH137" t="s">
        <v>944</v>
      </c>
      <c r="AI137" s="114">
        <f>AM131</f>
        <v>894072.3935483871</v>
      </c>
    </row>
    <row r="138" spans="33:39">
      <c r="AH138" t="s">
        <v>4070</v>
      </c>
      <c r="AI138" s="114">
        <f>AI136-AI137</f>
        <v>180286.20645161439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2018-11-17T19:05:21Z</dcterms:modified>
</cp:coreProperties>
</file>