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</sheets>
  <calcPr calcId="145621"/>
</workbook>
</file>

<file path=xl/calcChain.xml><?xml version="1.0" encoding="utf-8"?>
<calcChain xmlns="http://schemas.openxmlformats.org/spreadsheetml/2006/main">
  <c r="K77" i="18" l="1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Z15" i="32"/>
  <c r="AB12" i="32"/>
  <c r="I30" i="34" l="1"/>
  <c r="F81" i="32"/>
  <c r="L6" i="32"/>
  <c r="L8" i="32"/>
  <c r="L10" i="32"/>
  <c r="L12" i="32"/>
  <c r="L14" i="32"/>
  <c r="L16" i="32"/>
  <c r="L18" i="32"/>
  <c r="L20" i="32"/>
  <c r="L22" i="32"/>
  <c r="L24" i="32"/>
  <c r="L26" i="32"/>
  <c r="L28" i="32"/>
  <c r="L30" i="32"/>
  <c r="L32" i="32"/>
  <c r="L34" i="32"/>
  <c r="L36" i="32"/>
  <c r="L38" i="32"/>
  <c r="L40" i="32"/>
  <c r="L42" i="32"/>
  <c r="L44" i="32"/>
  <c r="AD12" i="32"/>
  <c r="AC12" i="32"/>
  <c r="F75" i="32"/>
  <c r="F72" i="32"/>
  <c r="F73" i="32"/>
  <c r="F71" i="32"/>
  <c r="P51" i="32"/>
  <c r="O51" i="32"/>
  <c r="Q51" i="32" s="1"/>
  <c r="I51" i="32"/>
  <c r="K50" i="32"/>
  <c r="I50" i="32"/>
  <c r="L50" i="32" s="1"/>
  <c r="K19" i="32"/>
  <c r="K18" i="32"/>
  <c r="K5" i="32"/>
  <c r="S5" i="32" s="1"/>
  <c r="S47" i="32"/>
  <c r="S49" i="32"/>
  <c r="R51" i="32"/>
  <c r="S52" i="32"/>
  <c r="S53" i="32"/>
  <c r="S54" i="32"/>
  <c r="S55" i="32"/>
  <c r="S56" i="32"/>
  <c r="S57" i="32"/>
  <c r="S58" i="32"/>
  <c r="S59" i="32"/>
  <c r="S60" i="32"/>
  <c r="S61" i="32"/>
  <c r="M33" i="32"/>
  <c r="Q33" i="32" s="1"/>
  <c r="M31" i="32"/>
  <c r="Q31" i="32" s="1"/>
  <c r="M45" i="32"/>
  <c r="P45" i="32" s="1"/>
  <c r="K45" i="32"/>
  <c r="S45" i="32" s="1"/>
  <c r="K44" i="32"/>
  <c r="S44" i="32" s="1"/>
  <c r="I44" i="32"/>
  <c r="M43" i="32"/>
  <c r="Q43" i="32" s="1"/>
  <c r="K43" i="32"/>
  <c r="S43" i="32" s="1"/>
  <c r="K42" i="32"/>
  <c r="S42" i="32" s="1"/>
  <c r="I42" i="32"/>
  <c r="M41" i="32"/>
  <c r="Q41" i="32" s="1"/>
  <c r="K41" i="32"/>
  <c r="S41" i="32" s="1"/>
  <c r="K40" i="32"/>
  <c r="S40" i="32" s="1"/>
  <c r="I40" i="32"/>
  <c r="M39" i="32"/>
  <c r="Q39" i="32" s="1"/>
  <c r="K39" i="32"/>
  <c r="S39" i="32" s="1"/>
  <c r="K38" i="32"/>
  <c r="S38" i="32" s="1"/>
  <c r="I38" i="32"/>
  <c r="M37" i="32"/>
  <c r="P37" i="32" s="1"/>
  <c r="K37" i="32"/>
  <c r="S37" i="32" s="1"/>
  <c r="K36" i="32"/>
  <c r="S36" i="32" s="1"/>
  <c r="I36" i="32"/>
  <c r="M35" i="32"/>
  <c r="Q35" i="32" s="1"/>
  <c r="K35" i="32"/>
  <c r="S35" i="32" s="1"/>
  <c r="K34" i="32"/>
  <c r="S34" i="32" s="1"/>
  <c r="I34" i="32"/>
  <c r="K33" i="32"/>
  <c r="S33" i="32" s="1"/>
  <c r="K32" i="32"/>
  <c r="S32" i="32" s="1"/>
  <c r="I32" i="32"/>
  <c r="K31" i="32"/>
  <c r="S31" i="32" s="1"/>
  <c r="K30" i="32"/>
  <c r="S30" i="32" s="1"/>
  <c r="I30" i="32"/>
  <c r="M29" i="32"/>
  <c r="Q29" i="32" s="1"/>
  <c r="K29" i="32"/>
  <c r="S29" i="32" s="1"/>
  <c r="K28" i="32"/>
  <c r="S28" i="32" s="1"/>
  <c r="I28" i="32"/>
  <c r="M27" i="32"/>
  <c r="Q27" i="32" s="1"/>
  <c r="K27" i="32"/>
  <c r="S27" i="32" s="1"/>
  <c r="K26" i="32"/>
  <c r="S26" i="32" s="1"/>
  <c r="M25" i="32"/>
  <c r="Q25" i="32" s="1"/>
  <c r="K25" i="32"/>
  <c r="S25" i="32" s="1"/>
  <c r="K24" i="32"/>
  <c r="S24" i="32" s="1"/>
  <c r="I24" i="32"/>
  <c r="M23" i="32"/>
  <c r="Q23" i="32" s="1"/>
  <c r="K23" i="32"/>
  <c r="S23" i="32" s="1"/>
  <c r="K22" i="32"/>
  <c r="S22" i="32" s="1"/>
  <c r="I22" i="32"/>
  <c r="K48" i="32"/>
  <c r="S48" i="32" s="1"/>
  <c r="I48" i="32"/>
  <c r="L48" i="32" s="1"/>
  <c r="M21" i="32"/>
  <c r="Q21" i="32" s="1"/>
  <c r="K21" i="32"/>
  <c r="S21" i="32" s="1"/>
  <c r="K20" i="32"/>
  <c r="S20" i="32" s="1"/>
  <c r="I20" i="32"/>
  <c r="M19" i="32"/>
  <c r="AA7" i="32"/>
  <c r="B202" i="15"/>
  <c r="B127" i="13"/>
  <c r="P31" i="32" l="1"/>
  <c r="Q45" i="32"/>
  <c r="Q37" i="32"/>
  <c r="P35" i="32"/>
  <c r="P43" i="32"/>
  <c r="P41" i="32"/>
  <c r="P39" i="32"/>
  <c r="P33" i="32"/>
  <c r="P21" i="32"/>
  <c r="P29" i="32"/>
  <c r="P27" i="32"/>
  <c r="P25" i="32"/>
  <c r="P23" i="32"/>
  <c r="K46" i="32" l="1"/>
  <c r="S46" i="32" s="1"/>
  <c r="F74" i="32" s="1"/>
  <c r="AF9" i="32"/>
  <c r="AF10" i="32"/>
  <c r="AF11" i="32"/>
  <c r="AE5" i="32"/>
  <c r="AE8" i="32"/>
  <c r="AE9" i="32"/>
  <c r="AE10" i="32"/>
  <c r="AE11" i="32"/>
  <c r="Y12" i="32" l="1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M7" i="32"/>
  <c r="AA6" i="32"/>
  <c r="Z5" i="32"/>
  <c r="Z6" i="32"/>
  <c r="AF6" i="32" s="1"/>
  <c r="Z7" i="32"/>
  <c r="Z8" i="32"/>
  <c r="AF8" i="32" s="1"/>
  <c r="Z4" i="32"/>
  <c r="AF4" i="32" s="1"/>
  <c r="M9" i="32"/>
  <c r="M5" i="32"/>
  <c r="M3" i="32"/>
  <c r="Q11" i="32" l="1"/>
  <c r="P13" i="32"/>
  <c r="P17" i="32"/>
  <c r="P15" i="32"/>
  <c r="Z12" i="32"/>
  <c r="M63" i="32"/>
  <c r="P19" i="32"/>
  <c r="I18" i="32"/>
  <c r="I3" i="32"/>
  <c r="I4" i="32"/>
  <c r="L4" i="32" s="1"/>
  <c r="I5" i="32"/>
  <c r="I6" i="32"/>
  <c r="I7" i="32"/>
  <c r="I8" i="32"/>
  <c r="I9" i="32"/>
  <c r="I19" i="32"/>
  <c r="I26" i="32"/>
  <c r="I46" i="32"/>
  <c r="L46" i="32" s="1"/>
  <c r="I47" i="32"/>
  <c r="I2" i="32"/>
  <c r="L2" i="32" s="1"/>
  <c r="P47" i="32"/>
  <c r="O47" i="32"/>
  <c r="Q47" i="32" s="1"/>
  <c r="O19" i="32"/>
  <c r="Q19" i="32" s="1"/>
  <c r="W12" i="32"/>
  <c r="O9" i="32"/>
  <c r="O7" i="32"/>
  <c r="O5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AA5" i="32" l="1"/>
  <c r="AB5" i="32" s="1"/>
  <c r="K7" i="32"/>
  <c r="K9" i="32"/>
  <c r="S9" i="32" s="1"/>
  <c r="K8" i="32"/>
  <c r="S8" i="32" s="1"/>
  <c r="U2" i="33"/>
  <c r="E21" i="33"/>
  <c r="E14" i="33"/>
  <c r="AB6" i="32"/>
  <c r="AB7" i="32"/>
  <c r="AB8" i="32"/>
  <c r="AG8" i="32" s="1"/>
  <c r="AB9" i="32"/>
  <c r="AG9" i="32" s="1"/>
  <c r="AB10" i="32"/>
  <c r="AB4" i="32"/>
  <c r="AG7" i="32" l="1"/>
  <c r="AC7" i="32"/>
  <c r="AE7" i="32" s="1"/>
  <c r="AG6" i="32"/>
  <c r="AC6" i="32"/>
  <c r="AE6" i="32" s="1"/>
  <c r="AG4" i="32"/>
  <c r="AC4" i="32"/>
  <c r="AE4" i="32" s="1"/>
  <c r="AG5" i="32"/>
  <c r="AD5" i="32"/>
  <c r="AF5" i="32" s="1"/>
  <c r="F79" i="32"/>
  <c r="P5" i="32"/>
  <c r="Q5" i="32"/>
  <c r="N5" i="33"/>
  <c r="E29" i="33"/>
  <c r="E28" i="33"/>
  <c r="E27" i="33"/>
  <c r="E26" i="33"/>
  <c r="E2" i="33"/>
  <c r="E25" i="33"/>
  <c r="E24" i="33"/>
  <c r="E23" i="33"/>
  <c r="E22" i="33"/>
  <c r="E20" i="33"/>
  <c r="E19" i="33"/>
  <c r="E18" i="33"/>
  <c r="E17" i="33"/>
  <c r="E15" i="33"/>
  <c r="E13" i="33"/>
  <c r="E12" i="33"/>
  <c r="E11" i="33"/>
  <c r="E10" i="33"/>
  <c r="E9" i="33"/>
  <c r="E8" i="33"/>
  <c r="E7" i="33"/>
  <c r="E6" i="33"/>
  <c r="E5" i="33"/>
  <c r="E4" i="33"/>
  <c r="E16" i="33"/>
  <c r="E3" i="33"/>
  <c r="AD7" i="32" l="1"/>
  <c r="AF7" i="32" s="1"/>
  <c r="AF12" i="32" s="1"/>
  <c r="AE12" i="32"/>
  <c r="AG12" i="32"/>
  <c r="N44" i="33"/>
  <c r="N28" i="33"/>
  <c r="N20" i="33"/>
  <c r="N12" i="33"/>
  <c r="N3" i="33"/>
  <c r="N43" i="33"/>
  <c r="N35" i="33"/>
  <c r="N27" i="33"/>
  <c r="N19" i="33"/>
  <c r="N11" i="33"/>
  <c r="N2" i="33"/>
  <c r="P2" i="33" s="1"/>
  <c r="N42" i="33"/>
  <c r="N34" i="33"/>
  <c r="N26" i="33"/>
  <c r="N18" i="33"/>
  <c r="N10" i="33"/>
  <c r="N49" i="33"/>
  <c r="N41" i="33"/>
  <c r="N33" i="33"/>
  <c r="N25" i="33"/>
  <c r="N17" i="33"/>
  <c r="N9" i="33"/>
  <c r="N48" i="33"/>
  <c r="N40" i="33"/>
  <c r="N32" i="33"/>
  <c r="N24" i="33"/>
  <c r="N16" i="33"/>
  <c r="N8" i="33"/>
  <c r="N7" i="33"/>
  <c r="N36" i="33"/>
  <c r="N47" i="33"/>
  <c r="N39" i="33"/>
  <c r="N31" i="33"/>
  <c r="N23" i="33"/>
  <c r="N15" i="33"/>
  <c r="N4" i="33"/>
  <c r="N46" i="33"/>
  <c r="N38" i="33"/>
  <c r="N30" i="33"/>
  <c r="N22" i="33"/>
  <c r="N14" i="33"/>
  <c r="N6" i="33"/>
  <c r="N45" i="33"/>
  <c r="N37" i="33"/>
  <c r="N29" i="33"/>
  <c r="N21" i="33"/>
  <c r="N13" i="33"/>
  <c r="O1" i="33"/>
  <c r="K2" i="32"/>
  <c r="S2" i="32" s="1"/>
  <c r="K3" i="32"/>
  <c r="S3" i="32" s="1"/>
  <c r="K4" i="32"/>
  <c r="S4" i="32" s="1"/>
  <c r="K6" i="32"/>
  <c r="O2" i="33" l="1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P3" i="33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N21" i="18"/>
  <c r="N11" i="18"/>
  <c r="V14" i="18"/>
  <c r="O11" i="18"/>
  <c r="C16" i="18"/>
  <c r="L23" i="18" l="1"/>
  <c r="P3" i="32"/>
  <c r="Q3" i="32"/>
  <c r="P7" i="32"/>
  <c r="Q7" i="32"/>
  <c r="P9" i="32"/>
  <c r="Q9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F190" i="15" l="1"/>
  <c r="F189" i="15"/>
  <c r="F188" i="15"/>
  <c r="P63" i="32"/>
  <c r="AA15" i="32" s="1"/>
  <c r="AA16" i="32" s="1"/>
  <c r="F186" i="15"/>
  <c r="Q63" i="32"/>
  <c r="Z16" i="32" s="1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F63" i="16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7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8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6" i="18" s="1"/>
  <c r="F15" i="18" s="1"/>
  <c r="G15" i="18" s="1"/>
  <c r="B27" i="14"/>
  <c r="E21" i="14"/>
  <c r="E20" i="14" s="1"/>
  <c r="L27" i="18" l="1"/>
  <c r="E33" i="13"/>
  <c r="G34" i="13"/>
  <c r="I97" i="20"/>
  <c r="K97" i="20"/>
  <c r="J97" i="20"/>
  <c r="F108" i="15"/>
  <c r="C20" i="18"/>
  <c r="E19" i="14"/>
  <c r="G20" i="14"/>
  <c r="G21" i="14"/>
  <c r="L28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<sst xmlns="http://schemas.openxmlformats.org/spreadsheetml/2006/main" count="2648" uniqueCount="1090">
  <si>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</si>
  <si>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</si>
  <si>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</si>
  <si>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</si>
  <si>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</si>
  <si>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</si>
  <si>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</si>
  <si>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</si>
  <si>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</si>
  <si>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</si>
  <si>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</si>
  <si>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</si>
  <si>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</si>
  <si>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</si>
  <si>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</si>
  <si>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</si>
  <si>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</si>
  <si>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</si>
  <si>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</si>
  <si>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</si>
  <si>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</si>
  <si>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</si>
  <si>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</si>
  <si>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</si>
  <si>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</si>
  <si>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</si>
  <si>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</si>
  <si>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</si>
  <si>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</si>
  <si>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</si>
  <si>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</si>
  <si>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</si>
  <si>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</si>
  <si>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</si>
  <si>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</si>
  <si>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</si>
  <si>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</si>
  <si>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</si>
  <si>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</si>
  <si>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</si>
  <si>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</si>
  <si>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</si>
  <si>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</si>
  <si>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</si>
  <si>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</si>
  <si>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</si>
  <si>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</si>
  <si>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</si>
  <si>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</si>
  <si>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</si>
  <si>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</si>
  <si>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</si>
  <si>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</si>
  <si>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</si>
  <si>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</si>
  <si>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</si>
  <si>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</si>
  <si>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</si>
  <si>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</si>
  <si>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</si>
  <si>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</si>
  <si>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</si>
  <si>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</si>
  <si>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</si>
  <si>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</si>
  <si>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</si>
  <si>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</si>
  <si>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</si>
  <si>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</si>
  <si>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</si>
  <si>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</si>
  <si>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</si>
  <si>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</si>
  <si>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</si>
  <si>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</si>
  <si>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</si>
  <si>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</si>
  <si>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</si>
  <si>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</si>
  <si>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</si>
  <si>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</si>
  <si>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</si>
  <si>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</si>
  <si>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</si>
  <si>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</si>
  <si>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</si>
  <si>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</si>
  <si>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</si>
  <si>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</si>
  <si>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</si>
  <si>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</si>
  <si>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</si>
  <si>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</si>
  <si>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</si>
  <si>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</si>
  <si>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</si>
  <si>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</si>
  <si>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</si>
  <si>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</si>
  <si>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</si>
  <si>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</si>
  <si>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</si>
  <si>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</si>
  <si>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</si>
  <si>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</si>
  <si>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</si>
  <si>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</si>
  <si>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</si>
  <si>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</si>
  <si>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</si>
  <si>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</si>
  <si>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</si>
  <si>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</si>
  <si>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</si>
  <si>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</si>
  <si>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</si>
  <si>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</si>
  <si>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</si>
  <si>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</si>
  <si>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</si>
  <si>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</si>
  <si>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</si>
  <si>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</si>
  <si>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</si>
  <si>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</si>
  <si>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</si>
  <si>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</si>
  <si>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</si>
  <si>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</si>
  <si>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</si>
  <si>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</si>
  <si>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</si>
  <si>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</si>
  <si>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</si>
  <si>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</si>
  <si>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</si>
  <si>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</si>
  <si>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</si>
  <si>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</si>
  <si>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</si>
  <si>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</si>
  <si>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</si>
  <si>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</si>
  <si>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</si>
  <si>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</si>
  <si>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</si>
  <si>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</si>
  <si>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</si>
  <si>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</si>
  <si>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</si>
  <si>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</si>
  <si>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</si>
  <si>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</si>
  <si>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</si>
  <si>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</si>
  <si>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</si>
  <si>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</si>
  <si>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</si>
  <si>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</si>
  <si>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</si>
  <si>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</si>
  <si>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</si>
  <si>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</si>
  <si>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</si>
  <si>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</si>
  <si>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</si>
  <si>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</si>
  <si>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</si>
  <si>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</si>
  <si>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</si>
  <si>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</si>
  <si>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</si>
  <si>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</si>
  <si>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</si>
  <si>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</si>
  <si>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</si>
  <si>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</si>
  <si>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</si>
  <si>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</si>
  <si>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</si>
  <si>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</si>
  <si>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</si>
  <si>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</si>
  <si>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</si>
  <si>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</si>
  <si>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</si>
  <si>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</si>
  <si>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</si>
  <si>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</si>
  <si>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</si>
  <si>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</si>
  <si>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</si>
  <si>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</si>
  <si>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</si>
  <si>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</si>
  <si>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</si>
  <si>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</si>
  <si>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</si>
  <si>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</si>
  <si>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</si>
  <si>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</si>
  <si>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</si>
  <si>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</si>
  <si>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</si>
  <si>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</si>
  <si>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</si>
  <si>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</si>
  <si>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</si>
  <si>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</si>
  <si>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</si>
  <si>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</si>
  <si>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</si>
  <si>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</si>
  <si>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</si>
  <si>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</si>
  <si>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</si>
  <si>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</si>
  <si>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</si>
  <si>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</si>
  <si>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</si>
  <si>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</si>
  <si>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</si>
  <si>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</si>
  <si>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</si>
  <si>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</si>
  <si>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</si>
  <si>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</si>
  <si>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</si>
  <si>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</si>
  <si>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</si>
  <si>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</si>
  <si>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</si>
  <si>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</si>
  <si>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</si>
  <si>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</si>
  <si>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</si>
  <si>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</si>
  <si>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</si>
  <si>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</si>
  <si>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</si>
  <si>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</si>
  <si>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</si>
  <si>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</si>
  <si>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</si>
  <si>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</si>
  <si>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</si>
  <si>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</si>
  <si>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</si>
  <si>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</si>
  <si>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</si>
  <si>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</si>
  <si>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</si>
  <si>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</si>
  <si>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</si>
  <si>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</si>
  <si>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</si>
  <si>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</si>
  <si>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</si>
  <si>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</si>
  <si>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</si>
  <si>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</si>
  <si>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</si>
  <si>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</si>
  <si>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</si>
  <si>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</si>
  <si>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</si>
  <si>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</si>
  <si>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</si>
  <si>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</si>
  <si>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</si>
  <si>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</si>
  <si>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</si>
  <si>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</si>
  <si>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</si>
  <si>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</si>
  <si>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</si>
  <si>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</si>
  <si>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</si>
  <si>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</si>
  <si>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</si>
  <si>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</si>
  <si>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</si>
  <si>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</si>
  <si>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</si>
  <si>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</si>
  <si>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</si>
  <si>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</si>
  <si>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</si>
  <si>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</si>
  <si>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</si>
  <si>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</si>
  <si>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</si>
  <si>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</si>
  <si>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</si>
  <si>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</si>
  <si>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</si>
  <si>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</si>
  <si>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</si>
  <si>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</si>
  <si>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</si>
  <si>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</si>
  <si>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</si>
  <si>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</si>
  <si>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</si>
  <si>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</si>
  <si>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</si>
  <si>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</si>
  <si>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</si>
  <si>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</si>
  <si>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</si>
  <si>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</si>
  <si>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</si>
  <si>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</si>
  <si>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</si>
  <si>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</si>
  <si>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</si>
  <si>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</si>
  <si>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</si>
  <si>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</si>
  <si>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</si>
  <si>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</si>
  <si>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</si>
  <si>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</si>
  <si>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</si>
  <si>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</si>
  <si>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</si>
  <si>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</si>
  <si>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</si>
  <si>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</si>
  <si>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</si>
  <si>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</si>
  <si>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</si>
  <si>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</si>
  <si>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</si>
  <si>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</si>
  <si>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</si>
  <si>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</si>
  <si>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</si>
  <si>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</si>
  <si>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</si>
  <si>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</si>
  <si>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</si>
  <si>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</si>
  <si>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</si>
  <si>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</si>
  <si>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</si>
  <si>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</si>
  <si>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</si>
  <si>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</si>
  <si>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</si>
  <si>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</si>
  <si>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</si>
  <si>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</si>
  <si>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</si>
  <si>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</si>
  <si>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</si>
  <si>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</si>
  <si>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</si>
  <si>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</si>
  <si>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</si>
  <si>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</si>
  <si>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</si>
  <si>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</si>
  <si>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</si>
  <si>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</si>
  <si>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</si>
  <si>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</si>
  <si>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</si>
  <si>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</si>
  <si>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</si>
  <si>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</si>
  <si>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</si>
  <si>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</si>
  <si>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</si>
  <si>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</si>
  <si>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</si>
  <si>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</si>
  <si>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</si>
  <si>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</si>
  <si>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</si>
  <si>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</si>
  <si>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</si>
  <si>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</si>
  <si>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</si>
  <si>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</si>
  <si>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</si>
  <si>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</si>
  <si>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</si>
  <si>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</si>
  <si>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</si>
  <si>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</si>
  <si>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</si>
  <si>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</si>
  <si>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</si>
  <si>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</si>
  <si>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</si>
  <si>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</si>
  <si>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</si>
  <si>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</si>
  <si>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</si>
  <si>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</si>
  <si>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</si>
  <si>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</si>
  <si>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</si>
  <si>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</si>
  <si>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</si>
  <si>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</si>
  <si>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</si>
  <si>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</si>
  <si>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</si>
  <si>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</si>
  <si>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</si>
  <si>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</si>
  <si>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</si>
  <si>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</si>
  <si>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</si>
  <si>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</si>
  <si>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</si>
  <si>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</si>
  <si>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</si>
  <si>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</si>
  <si>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</si>
  <si>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</si>
  <si>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</si>
  <si>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</si>
  <si>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</si>
  <si>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</si>
  <si>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</si>
  <si>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</si>
  <si>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</si>
  <si>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</si>
  <si>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</si>
  <si>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</si>
  <si>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</si>
  <si>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</si>
  <si>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</si>
  <si>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</si>
  <si>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</si>
  <si>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</si>
  <si>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</si>
  <si>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</si>
  <si>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</si>
  <si>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</si>
  <si>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</si>
  <si>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</si>
  <si>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</si>
  <si>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</si>
  <si>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</si>
  <si>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</si>
  <si>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</si>
  <si>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</si>
  <si>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</si>
  <si>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</si>
  <si>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</si>
  <si>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</si>
  <si>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</si>
  <si>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</si>
  <si>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</si>
  <si>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</si>
  <si>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</si>
  <si>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</si>
  <si>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</si>
  <si>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</si>
  <si>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</si>
  <si>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</si>
  <si>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</si>
  <si>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</si>
  <si>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</si>
  <si>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</si>
  <si>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</si>
  <si>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</si>
  <si>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</si>
  <si>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</si>
  <si>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</si>
  <si>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</si>
  <si>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</si>
  <si>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</si>
  <si>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</si>
  <si>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</si>
  <si>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</si>
  <si>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</si>
  <si>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</si>
  <si>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</si>
  <si>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</si>
  <si>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</si>
  <si>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</si>
  <si>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</si>
  <si>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</si>
  <si>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</si>
  <si>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</si>
  <si>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</si>
  <si>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</si>
  <si>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</si>
  <si>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</si>
  <si>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</si>
  <si>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</si>
  <si>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</si>
  <si>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</si>
  <si>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</si>
  <si>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</si>
  <si>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</si>
  <si>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</si>
  <si>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</si>
  <si>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</si>
  <si>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</si>
  <si>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</si>
  <si>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</si>
  <si>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</si>
  <si>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</si>
  <si>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</si>
  <si>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</si>
  <si>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</si>
  <si>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</si>
  <si>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</si>
  <si>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</si>
  <si>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</si>
  <si>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</si>
  <si>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</si>
  <si>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</si>
  <si>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</si>
  <si>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</si>
  <si>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</si>
  <si>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</si>
  <si>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</si>
  <si>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</si>
  <si>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</si>
  <si>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</si>
  <si>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</si>
  <si>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</si>
  <si>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</si>
  <si>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</si>
  <si>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</si>
  <si>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</si>
  <si>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</si>
  <si>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</si>
  <si>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</si>
  <si>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</si>
  <si>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</si>
  <si>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</si>
  <si>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</si>
  <si>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</si>
  <si>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</si>
  <si>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</si>
  <si>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</si>
  <si>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</si>
  <si>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</si>
  <si>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</si>
  <si>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</si>
  <si>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</si>
  <si>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</si>
  <si>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</si>
  <si>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</si>
  <si>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</si>
  <si>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</si>
  <si>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</si>
  <si>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</si>
  <si>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</si>
  <si>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</si>
  <si>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</si>
  <si>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</si>
  <si>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</si>
  <si>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</si>
  <si>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</si>
  <si>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</si>
  <si>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</si>
  <si>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</si>
  <si>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</si>
  <si>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</si>
  <si>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</si>
  <si>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</si>
  <si>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</si>
  <si>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</si>
  <si>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</si>
  <si>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</si>
  <si>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</si>
  <si>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</si>
  <si>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</si>
  <si>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</si>
  <si>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</si>
  <si>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</si>
  <si>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</si>
  <si>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</si>
  <si>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</si>
  <si>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</si>
  <si>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</si>
  <si>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</si>
  <si>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</si>
  <si>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</si>
  <si>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</si>
  <si>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</si>
  <si>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</si>
  <si>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</si>
  <si>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</si>
  <si>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</si>
  <si>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</si>
  <si>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</si>
  <si>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</si>
  <si>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</si>
  <si>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</si>
  <si>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</si>
  <si>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</si>
  <si>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</si>
  <si>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</si>
  <si>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</si>
  <si>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</si>
  <si>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</si>
  <si>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</si>
  <si>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</si>
  <si>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</si>
  <si>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</si>
  <si>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</si>
  <si>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</si>
  <si>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</si>
  <si>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</si>
  <si>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</si>
  <si>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</si>
  <si>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</si>
  <si>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</si>
  <si>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</si>
  <si>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</si>
  <si>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</si>
  <si>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</si>
  <si>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</si>
  <si>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</si>
  <si>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</si>
  <si>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</si>
  <si>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</si>
  <si>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</si>
  <si>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</si>
  <si>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</si>
  <si>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</si>
  <si>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</si>
  <si>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</si>
  <si>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</si>
  <si>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</si>
  <si>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</si>
  <si>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</si>
  <si>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</si>
  <si>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</si>
  <si>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</si>
  <si>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</si>
  <si>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</si>
  <si>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</si>
  <si>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</si>
  <si>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</si>
  <si>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</si>
  <si>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</si>
  <si>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</si>
  <si>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</si>
  <si>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</si>
  <si>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</si>
  <si>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</si>
  <si>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</si>
  <si>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</si>
  <si>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</si>
  <si>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</si>
  <si>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</si>
  <si>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</si>
  <si>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</si>
  <si>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</si>
  <si>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</si>
  <si>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</si>
  <si>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</si>
  <si>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</si>
  <si>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</si>
  <si>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</si>
  <si>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</si>
  <si>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</si>
  <si>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</si>
  <si>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</si>
  <si>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</si>
  <si>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</si>
  <si>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</si>
  <si>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</si>
  <si>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</si>
  <si>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</si>
  <si>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</si>
  <si>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</si>
  <si>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</si>
  <si>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</si>
  <si>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</si>
  <si>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</si>
  <si>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</si>
  <si>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</si>
  <si>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</si>
  <si>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</si>
  <si>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</si>
  <si>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</si>
  <si>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</si>
  <si>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</si>
  <si>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</si>
  <si>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</si>
  <si>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</si>
  <si>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</si>
  <si>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</si>
  <si>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</si>
  <si>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</si>
  <si>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</si>
  <si>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</si>
  <si>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</si>
  <si>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</si>
  <si>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</si>
  <si>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</si>
  <si>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</si>
  <si>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</si>
  <si>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</si>
  <si>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</si>
  <si>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</si>
  <si>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</si>
  <si>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</si>
  <si>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</si>
  <si>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</si>
  <si>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</si>
  <si>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</si>
  <si>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</si>
  <si>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</si>
  <si>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</si>
  <si>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</si>
  <si>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</si>
  <si>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</si>
  <si>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</si>
  <si>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</si>
  <si>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</si>
  <si>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</si>
  <si>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</si>
  <si>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</si>
  <si>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</si>
  <si>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</si>
  <si>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</si>
  <si>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</si>
  <si>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</si>
  <si>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</si>
  <si>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</si>
  <si>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</si>
  <si>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</si>
  <si>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</si>
  <si>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</si>
  <si>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</si>
  <si>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</si>
  <si>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</si>
  <si>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</si>
  <si>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</si>
  <si>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</si>
  <si>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</si>
  <si>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</si>
  <si>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</si>
  <si>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</si>
  <si>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</si>
  <si>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</si>
  <si>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</si>
  <si>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</si>
  <si>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</si>
  <si>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</si>
  <si>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</si>
  <si>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</si>
  <si>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</si>
  <si>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</si>
  <si>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</si>
  <si>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</si>
  <si>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</si>
  <si>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</si>
  <si>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</si>
  <si>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</si>
  <si>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</si>
  <si>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</si>
  <si>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</si>
  <si>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</si>
  <si>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</si>
  <si>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</si>
  <si>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</si>
  <si>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</si>
  <si>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</si>
  <si>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</si>
  <si>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</si>
  <si>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</si>
  <si>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</si>
  <si>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</si>
  <si>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</si>
  <si>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</si>
  <si>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</si>
  <si>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</si>
  <si>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</si>
  <si>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</si>
  <si>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</si>
  <si>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</si>
  <si>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</si>
  <si>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</si>
  <si>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</si>
  <si>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</si>
  <si>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</si>
  <si>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</si>
  <si>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</si>
  <si>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</si>
  <si>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</si>
  <si>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</si>
  <si>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</si>
  <si>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</si>
  <si>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</si>
  <si>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</si>
  <si>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</si>
  <si>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</si>
  <si>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</si>
  <si>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</si>
  <si>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</si>
  <si>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</si>
  <si>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</si>
  <si>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</si>
  <si>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</si>
  <si>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</si>
  <si>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</si>
  <si>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</si>
  <si>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</si>
  <si>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</si>
  <si>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</si>
  <si>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</si>
  <si>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</si>
  <si>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</si>
  <si>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</si>
  <si>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</si>
  <si>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</si>
  <si>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</si>
  <si>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</si>
  <si>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</si>
  <si>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</si>
  <si>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</si>
  <si>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</si>
  <si>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</si>
  <si>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</si>
  <si>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</si>
  <si>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</si>
  <si>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</si>
  <si>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</si>
  <si>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</si>
  <si>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</si>
  <si>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</si>
  <si>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</si>
  <si>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</si>
  <si>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</si>
  <si>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</si>
  <si>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</si>
  <si>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</si>
  <si>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</si>
  <si>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</si>
  <si>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</si>
  <si>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</si>
  <si>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</si>
  <si>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</si>
  <si>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</si>
  <si>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</si>
  <si>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</si>
  <si>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</si>
  <si>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</si>
  <si>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</si>
  <si>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</si>
  <si>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</si>
  <si>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</si>
  <si>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</si>
  <si>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</si>
  <si>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</si>
  <si>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</si>
  <si>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</si>
  <si>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</si>
  <si>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</si>
  <si>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</si>
  <si>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</si>
  <si>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</si>
  <si>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</si>
  <si>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</si>
  <si>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</si>
  <si>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</si>
  <si>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</si>
  <si>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</si>
  <si>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</si>
  <si>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</si>
  <si>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</si>
  <si>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</si>
  <si>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</si>
  <si>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</si>
  <si>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</si>
  <si>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</si>
  <si>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</si>
  <si>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</si>
  <si>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</si>
  <si>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</si>
  <si>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</si>
  <si>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</si>
  <si>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</si>
  <si>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</si>
  <si>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</si>
  <si>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</si>
  <si>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</si>
  <si>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</si>
  <si>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</si>
  <si>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</si>
  <si>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</si>
  <si>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</si>
  <si>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</si>
  <si>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</si>
  <si>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</si>
  <si>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</si>
  <si>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</si>
  <si>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</si>
  <si>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</si>
  <si>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</si>
  <si>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</si>
  <si>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</si>
  <si>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</si>
  <si>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</si>
  <si>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</si>
  <si>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</si>
  <si>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</si>
  <si>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</si>
  <si>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</si>
  <si>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</si>
  <si>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</si>
  <si>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</si>
  <si>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</si>
  <si>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</si>
  <si>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</si>
  <si>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</si>
  <si>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</si>
  <si>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</si>
  <si>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</si>
  <si>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</si>
  <si>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</si>
  <si>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</si>
  <si>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</si>
  <si>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</si>
  <si>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</si>
  <si>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</si>
  <si>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</si>
  <si>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</si>
  <si>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</si>
  <si>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</si>
  <si>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</si>
  <si>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</si>
  <si>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</si>
  <si>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</si>
  <si>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</si>
  <si>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</si>
  <si>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</si>
  <si>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</si>
  <si>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</si>
  <si>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</si>
  <si>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</si>
  <si>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</si>
  <si>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</si>
  <si>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</si>
  <si>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</si>
  <si>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</si>
  <si>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</si>
  <si>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</si>
  <si>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</si>
  <si>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</si>
  <si>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</si>
  <si>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</si>
  <si>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</si>
  <si>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</si>
  <si>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</si>
  <si>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</si>
  <si>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</si>
  <si>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</si>
  <si>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</si>
  <si>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</si>
  <si>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</si>
  <si>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</si>
  <si>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</si>
  <si>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</si>
  <si>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</si>
  <si>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</si>
  <si>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</si>
  <si>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</si>
  <si>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</si>
  <si>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</si>
  <si>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</si>
  <si>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</si>
  <si>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</si>
  <si>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</si>
  <si>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</si>
  <si>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</si>
  <si>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</si>
  <si>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</si>
  <si>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</si>
  <si>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</si>
  <si>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</si>
  <si>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</si>
  <si>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</si>
  <si>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</si>
  <si>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</si>
  <si>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</si>
  <si>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</si>
  <si>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</si>
  <si>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</si>
  <si>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</si>
  <si>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</si>
  <si>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</si>
  <si>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</si>
  <si>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</si>
  <si>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</si>
  <si>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</si>
  <si>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</si>
  <si>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افاد2</t>
  </si>
  <si>
    <t>نرخ سود</t>
  </si>
  <si>
    <t xml:space="preserve">بازه پرداخت سود </t>
  </si>
  <si>
    <t>ارزش خرید</t>
  </si>
  <si>
    <t>26/6/1400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</si>
  <si>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</si>
  <si>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</si>
  <si>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</si>
  <si>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</si>
  <si>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</si>
  <si>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</si>
  <si>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</si>
  <si>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</si>
  <si>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</si>
  <si>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</si>
  <si>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</si>
  <si>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</si>
  <si>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</si>
  <si>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</si>
  <si>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</si>
  <si>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</si>
  <si>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</si>
  <si>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</si>
  <si>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</si>
  <si>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</si>
  <si>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</si>
  <si>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</si>
  <si>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</si>
  <si>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</si>
  <si>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</si>
  <si>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</si>
  <si>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</si>
  <si>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</si>
  <si>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</si>
  <si>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تضمین</t>
  </si>
  <si>
    <t>تامین اجتماعی</t>
  </si>
  <si>
    <t>11/9/1398</t>
  </si>
  <si>
    <t>13/9/1397</t>
  </si>
  <si>
    <t>14/11/1398</t>
  </si>
  <si>
    <t>16/10/1398</t>
  </si>
  <si>
    <t>ماه تا سررسید</t>
  </si>
  <si>
    <t>تاریخ مرجع</t>
  </si>
  <si>
    <t>25/12/1396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</si>
  <si>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</si>
  <si>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</si>
  <si>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</si>
  <si>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</si>
  <si>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</si>
  <si>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</si>
  <si>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</si>
  <si>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</si>
  <si>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</si>
  <si>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</si>
  <si>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</si>
  <si>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</si>
  <si>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</si>
  <si>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</si>
  <si>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</si>
  <si>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</si>
  <si>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</si>
  <si>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</si>
  <si>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</si>
  <si>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</si>
  <si>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</si>
  <si>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</si>
  <si>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</si>
  <si>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</si>
  <si>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</si>
  <si>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</si>
  <si>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</si>
  <si>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</si>
  <si>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</si>
  <si>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</si>
  <si>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</si>
  <si>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</si>
  <si>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</si>
  <si>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</si>
  <si>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</si>
  <si>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</si>
  <si>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</si>
  <si>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</si>
  <si>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</si>
  <si>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</si>
  <si>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</si>
  <si>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</si>
  <si>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</si>
  <si>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</si>
  <si>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با حقوق اسفند</t>
  </si>
  <si>
    <t>بنزین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</si>
</sst>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E32" sqref="E3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1054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1083</v>
      </c>
      <c r="B6" s="18">
        <v>0</v>
      </c>
      <c r="C6" s="18">
        <v>0</v>
      </c>
      <c r="D6" s="3">
        <f t="shared" si="0"/>
        <v>0</v>
      </c>
      <c r="E6" s="19" t="s">
        <v>1085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0</v>
      </c>
      <c r="E31" s="54"/>
      <c r="G31" s="9" t="s">
        <v>1086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0</v>
      </c>
      <c r="E32" s="41"/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1053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1083</v>
      </c>
      <c r="B148" s="18">
        <v>252436</v>
      </c>
      <c r="C148" s="18">
        <v>65510</v>
      </c>
      <c r="D148" s="18">
        <f t="shared" si="12"/>
        <v>186926</v>
      </c>
      <c r="E148" s="11" t="s">
        <v>1085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1059</v>
      </c>
      <c r="B103" s="38">
        <v>295500</v>
      </c>
      <c r="C103" s="73" t="s">
        <v>1060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1053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1057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1064</v>
      </c>
      <c r="B108" s="38">
        <v>3000000</v>
      </c>
      <c r="C108" s="73" t="s">
        <v>1074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1075</v>
      </c>
      <c r="B109" s="38">
        <v>2000000</v>
      </c>
      <c r="C109" s="73" t="s">
        <v>1074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1075</v>
      </c>
      <c r="B110" s="38">
        <v>-5000000</v>
      </c>
      <c r="C110" s="73" t="s">
        <v>1053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1083</v>
      </c>
      <c r="B111" s="38">
        <v>412668</v>
      </c>
      <c r="C111" s="73" t="s">
        <v>1084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1054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1083</v>
      </c>
      <c r="B6" s="18">
        <v>252436</v>
      </c>
      <c r="C6" s="18">
        <v>65510</v>
      </c>
      <c r="D6" s="3">
        <f t="shared" si="0"/>
        <v>186926</v>
      </c>
      <c r="E6" s="19" t="s">
        <v>1085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1052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1073</v>
      </c>
    </row>
    <row r="36" spans="4:17" x14ac:dyDescent="0.25">
      <c r="D36" s="42">
        <v>245000</v>
      </c>
      <c r="E36" s="41" t="s">
        <v>1073</v>
      </c>
    </row>
    <row r="37" spans="4:17" x14ac:dyDescent="0.25">
      <c r="D37" s="7">
        <v>-25000</v>
      </c>
      <c r="E37" s="41" t="s">
        <v>1077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zoomScale="85" zoomScaleNormal="85" workbookViewId="0">
      <pane ySplit="1" topLeftCell="A26" activePane="bottomLeft" state="frozen"/>
      <selection pane="bottomLeft" activeCell="E23" sqref="E23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4.8554687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4.5703125" bestFit="1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1061</v>
      </c>
      <c r="R1" s="11" t="s">
        <v>983</v>
      </c>
      <c r="S1" s="74" t="s">
        <v>1079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12" si="0">F2*G2*($AB$2-H2)/(36500)</f>
        <v>0</v>
      </c>
      <c r="J2" s="76">
        <v>7.2499999999999995E-2</v>
      </c>
      <c r="K2" s="77">
        <f>C2*E2*J2/100</f>
        <v>28118.11</v>
      </c>
      <c r="L2" s="76">
        <f>(E2*(1+J2/100)+I2/C2)/(1-J3/100)</f>
        <v>97099.692552100285</v>
      </c>
      <c r="M2" s="76"/>
      <c r="N2" s="76"/>
      <c r="O2" s="76"/>
      <c r="P2" s="76"/>
      <c r="Q2" s="76"/>
      <c r="R2" s="76"/>
      <c r="S2" s="14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>C3*E3*J3/100</f>
        <v>28999.71</v>
      </c>
      <c r="L3" s="76">
        <v>0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14">
        <f>F3-E3*C3+K3</f>
        <v>463872.71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1067</v>
      </c>
      <c r="AD3" s="82" t="s">
        <v>1068</v>
      </c>
      <c r="AE3" s="82" t="s">
        <v>1069</v>
      </c>
      <c r="AF3" s="82" t="s">
        <v>1070</v>
      </c>
      <c r="AG3" s="82" t="s">
        <v>971</v>
      </c>
    </row>
    <row r="4" spans="1:33" x14ac:dyDescent="0.25">
      <c r="A4" s="79" t="s">
        <v>961</v>
      </c>
      <c r="B4" s="79" t="s">
        <v>981</v>
      </c>
      <c r="C4" s="79">
        <v>300</v>
      </c>
      <c r="D4" s="79" t="s">
        <v>61</v>
      </c>
      <c r="E4" s="80">
        <v>97219</v>
      </c>
      <c r="F4" s="80">
        <v>29203853</v>
      </c>
      <c r="G4" s="79">
        <v>3</v>
      </c>
      <c r="H4" s="79">
        <v>21</v>
      </c>
      <c r="I4" s="80">
        <f t="shared" si="0"/>
        <v>2400.3166849315066</v>
      </c>
      <c r="J4" s="79">
        <v>7.2499999999999995E-2</v>
      </c>
      <c r="K4" s="80">
        <f>C4*E4*J4/100</f>
        <v>21145.1325</v>
      </c>
      <c r="L4" s="79">
        <f t="shared" ref="L4" si="1">(E4*(1+J4/100)+I4/C4)/(1-J5/100)</f>
        <v>97368.076686213957</v>
      </c>
      <c r="M4" s="79"/>
      <c r="N4" s="79"/>
      <c r="O4" s="79"/>
      <c r="P4" s="79"/>
      <c r="Q4" s="79"/>
      <c r="R4" s="80"/>
      <c r="S4" s="14">
        <f>C4*E4+K4-F4</f>
        <v>-17007.867499999702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v>7</v>
      </c>
      <c r="AB4" s="85">
        <f t="shared" ref="AB4:AB10" si="2">W4*AA4*$AB$2/(365*100)</f>
        <v>339643.83561643836</v>
      </c>
      <c r="AC4" s="85">
        <f>AB4</f>
        <v>339643.83561643836</v>
      </c>
      <c r="AD4" s="85">
        <v>0</v>
      </c>
      <c r="AE4" s="85">
        <f>Y4+AC4</f>
        <v>80839643.83561644</v>
      </c>
      <c r="AF4" s="85">
        <f>Z4+AD4</f>
        <v>0</v>
      </c>
      <c r="AG4" s="86">
        <f t="shared" ref="AG4:AG9" si="3">W4+AB4</f>
        <v>80839643.83561644</v>
      </c>
    </row>
    <row r="5" spans="1:33" x14ac:dyDescent="0.25">
      <c r="A5" s="79" t="s">
        <v>960</v>
      </c>
      <c r="B5" s="79" t="s">
        <v>981</v>
      </c>
      <c r="C5" s="79">
        <v>300</v>
      </c>
      <c r="D5" s="79" t="s">
        <v>976</v>
      </c>
      <c r="E5" s="80">
        <v>98000</v>
      </c>
      <c r="F5" s="80">
        <v>29446055</v>
      </c>
      <c r="G5" s="79">
        <v>0</v>
      </c>
      <c r="H5" s="79">
        <v>0</v>
      </c>
      <c r="I5" s="80">
        <f t="shared" si="0"/>
        <v>0</v>
      </c>
      <c r="J5" s="79">
        <v>7.2499999999999995E-2</v>
      </c>
      <c r="K5" s="80">
        <f>C5*E5*J5/100</f>
        <v>21315</v>
      </c>
      <c r="L5" s="79">
        <v>0</v>
      </c>
      <c r="M5" s="81">
        <f>F5-F4</f>
        <v>242202</v>
      </c>
      <c r="N5" s="79">
        <v>300</v>
      </c>
      <c r="O5" s="79">
        <f>C4-N5</f>
        <v>0</v>
      </c>
      <c r="P5" s="81">
        <f>M5*N5/C4</f>
        <v>242202</v>
      </c>
      <c r="Q5" s="81">
        <f>M5*O5/C4</f>
        <v>0</v>
      </c>
      <c r="R5" s="80"/>
      <c r="S5" s="14">
        <f>F5-E5*C5+K5</f>
        <v>67370</v>
      </c>
      <c r="U5" s="82" t="s">
        <v>960</v>
      </c>
      <c r="V5" s="82" t="s">
        <v>962</v>
      </c>
      <c r="W5" s="85">
        <v>87000000</v>
      </c>
      <c r="X5" s="82" t="s">
        <v>1049</v>
      </c>
      <c r="Y5" s="85">
        <v>0</v>
      </c>
      <c r="Z5" s="86">
        <f t="shared" ref="Z5:Z8" si="4">W5-Y5</f>
        <v>87000000</v>
      </c>
      <c r="AA5" s="82">
        <f>AA4-4</f>
        <v>3</v>
      </c>
      <c r="AB5" s="85">
        <f t="shared" si="2"/>
        <v>157315.0684931507</v>
      </c>
      <c r="AC5" s="85">
        <v>0</v>
      </c>
      <c r="AD5" s="85">
        <f>AB5</f>
        <v>157315.0684931507</v>
      </c>
      <c r="AE5" s="85">
        <f t="shared" ref="AE5:AE11" si="5">Y5+AC5</f>
        <v>0</v>
      </c>
      <c r="AF5" s="85">
        <f t="shared" ref="AF5:AF11" si="6">Z5+AD5</f>
        <v>87157315.068493158</v>
      </c>
      <c r="AG5" s="86">
        <f t="shared" si="3"/>
        <v>87157315.068493158</v>
      </c>
    </row>
    <row r="6" spans="1:33" x14ac:dyDescent="0.25">
      <c r="A6" s="76" t="s">
        <v>960</v>
      </c>
      <c r="B6" s="76" t="s">
        <v>1050</v>
      </c>
      <c r="C6" s="76">
        <v>200</v>
      </c>
      <c r="D6" s="76" t="s">
        <v>61</v>
      </c>
      <c r="E6" s="77">
        <v>70000</v>
      </c>
      <c r="F6" s="77">
        <v>14010149</v>
      </c>
      <c r="G6" s="76">
        <v>0</v>
      </c>
      <c r="H6" s="76">
        <v>0</v>
      </c>
      <c r="I6" s="77">
        <f t="shared" si="0"/>
        <v>0</v>
      </c>
      <c r="J6" s="76">
        <v>7.2499999999999995E-2</v>
      </c>
      <c r="K6" s="77">
        <f t="shared" ref="K6:K17" si="7">C6*E6*J6/100</f>
        <v>10149.999999999998</v>
      </c>
      <c r="L6" s="76">
        <f t="shared" ref="L6" si="8">(E6*(1+J6/100)+I6/C6)/(1-J7/100)</f>
        <v>70101.573640889648</v>
      </c>
      <c r="M6" s="76"/>
      <c r="N6" s="76"/>
      <c r="O6" s="76"/>
      <c r="P6" s="76"/>
      <c r="Q6" s="76"/>
      <c r="R6" s="76"/>
      <c r="S6" s="14">
        <v>0</v>
      </c>
      <c r="U6" s="82" t="s">
        <v>1064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4"/>
        <v>0</v>
      </c>
      <c r="AA6" s="82">
        <f>AA4-5</f>
        <v>2</v>
      </c>
      <c r="AB6" s="85">
        <f t="shared" si="2"/>
        <v>1326.027397260274</v>
      </c>
      <c r="AC6" s="85">
        <f>AB6</f>
        <v>1326.027397260274</v>
      </c>
      <c r="AD6" s="85">
        <v>0</v>
      </c>
      <c r="AE6" s="85">
        <f t="shared" si="5"/>
        <v>1101326.0273972603</v>
      </c>
      <c r="AF6" s="85">
        <f t="shared" si="6"/>
        <v>0</v>
      </c>
      <c r="AG6" s="86">
        <f t="shared" si="3"/>
        <v>1101326.0273972603</v>
      </c>
    </row>
    <row r="7" spans="1:33" x14ac:dyDescent="0.25">
      <c r="A7" s="76" t="s">
        <v>960</v>
      </c>
      <c r="B7" s="76" t="s">
        <v>1050</v>
      </c>
      <c r="C7" s="76">
        <v>200</v>
      </c>
      <c r="D7" s="76" t="s">
        <v>976</v>
      </c>
      <c r="E7" s="77">
        <v>704889</v>
      </c>
      <c r="F7" s="77">
        <v>14087559</v>
      </c>
      <c r="G7" s="76">
        <v>0</v>
      </c>
      <c r="H7" s="76">
        <v>0</v>
      </c>
      <c r="I7" s="77">
        <f t="shared" si="0"/>
        <v>0</v>
      </c>
      <c r="J7" s="76">
        <v>7.2499999999999995E-2</v>
      </c>
      <c r="K7" s="77">
        <f t="shared" si="7"/>
        <v>102208.905</v>
      </c>
      <c r="L7" s="76">
        <v>1</v>
      </c>
      <c r="M7" s="78">
        <f>F7-F6</f>
        <v>77410</v>
      </c>
      <c r="N7" s="76">
        <v>100</v>
      </c>
      <c r="O7" s="76">
        <f>C6-N7</f>
        <v>100</v>
      </c>
      <c r="P7" s="78">
        <f>M7*N7/C6</f>
        <v>38705</v>
      </c>
      <c r="Q7" s="78">
        <f>M7*O7/C6</f>
        <v>38705</v>
      </c>
      <c r="R7" s="76"/>
      <c r="S7" s="14">
        <v>0</v>
      </c>
      <c r="U7" s="82" t="s">
        <v>1075</v>
      </c>
      <c r="V7" s="82" t="s">
        <v>962</v>
      </c>
      <c r="W7" s="85">
        <v>10000000</v>
      </c>
      <c r="X7" s="82" t="s">
        <v>1078</v>
      </c>
      <c r="Y7" s="85">
        <v>5000000</v>
      </c>
      <c r="Z7" s="86">
        <f t="shared" si="4"/>
        <v>5000000</v>
      </c>
      <c r="AA7" s="82">
        <f>AA4-6</f>
        <v>1</v>
      </c>
      <c r="AB7" s="85">
        <f t="shared" si="2"/>
        <v>6027.3972602739723</v>
      </c>
      <c r="AC7" s="85">
        <f>AB7/2</f>
        <v>3013.6986301369861</v>
      </c>
      <c r="AD7" s="85">
        <f>AB7-AC7</f>
        <v>3013.6986301369861</v>
      </c>
      <c r="AE7" s="85">
        <f t="shared" si="5"/>
        <v>5003013.6986301374</v>
      </c>
      <c r="AF7" s="85">
        <f t="shared" si="6"/>
        <v>5003013.6986301374</v>
      </c>
      <c r="AG7" s="86">
        <f t="shared" si="3"/>
        <v>10006027.397260275</v>
      </c>
    </row>
    <row r="8" spans="1:33" x14ac:dyDescent="0.25">
      <c r="A8" s="79" t="s">
        <v>960</v>
      </c>
      <c r="B8" s="79" t="s">
        <v>991</v>
      </c>
      <c r="C8" s="79">
        <v>200</v>
      </c>
      <c r="D8" s="79" t="s">
        <v>61</v>
      </c>
      <c r="E8" s="80">
        <v>83000</v>
      </c>
      <c r="F8" s="80">
        <v>17464390</v>
      </c>
      <c r="G8" s="79">
        <v>0</v>
      </c>
      <c r="H8" s="79">
        <v>15</v>
      </c>
      <c r="I8" s="80">
        <f t="shared" si="0"/>
        <v>0</v>
      </c>
      <c r="J8" s="79">
        <v>7.2499999999999995E-2</v>
      </c>
      <c r="K8" s="80">
        <f t="shared" si="7"/>
        <v>12035</v>
      </c>
      <c r="L8" s="79">
        <f t="shared" ref="L8:L44" si="9">(E8*(1+J8/100)+I8/C8)/(1-J9/100)</f>
        <v>83120.437317054864</v>
      </c>
      <c r="M8" s="79"/>
      <c r="N8" s="79"/>
      <c r="O8" s="79"/>
      <c r="P8" s="79"/>
      <c r="Q8" s="79"/>
      <c r="R8" s="79"/>
      <c r="S8" s="14">
        <f t="shared" ref="S8" si="10">C8*E8+K8-F8</f>
        <v>-852355</v>
      </c>
      <c r="U8" s="82"/>
      <c r="V8" s="82"/>
      <c r="W8" s="85"/>
      <c r="X8" s="82"/>
      <c r="Y8" s="82"/>
      <c r="Z8" s="86">
        <f t="shared" si="4"/>
        <v>0</v>
      </c>
      <c r="AA8" s="82"/>
      <c r="AB8" s="85">
        <f t="shared" si="2"/>
        <v>0</v>
      </c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960</v>
      </c>
      <c r="B9" s="79" t="s">
        <v>991</v>
      </c>
      <c r="C9" s="79">
        <v>200</v>
      </c>
      <c r="D9" s="79" t="s">
        <v>976</v>
      </c>
      <c r="E9" s="80">
        <v>83399</v>
      </c>
      <c r="F9" s="80">
        <v>17520183</v>
      </c>
      <c r="G9" s="79">
        <v>0</v>
      </c>
      <c r="H9" s="79">
        <v>15</v>
      </c>
      <c r="I9" s="80">
        <f t="shared" si="0"/>
        <v>0</v>
      </c>
      <c r="J9" s="79">
        <v>7.2499999999999995E-2</v>
      </c>
      <c r="K9" s="80">
        <f t="shared" si="7"/>
        <v>12092.855</v>
      </c>
      <c r="L9" s="79">
        <v>1</v>
      </c>
      <c r="M9" s="81">
        <f>F9-F8</f>
        <v>55793</v>
      </c>
      <c r="N9" s="79">
        <v>100</v>
      </c>
      <c r="O9" s="79">
        <f>C8-N9</f>
        <v>100</v>
      </c>
      <c r="P9" s="81">
        <f>M9*N9/C8</f>
        <v>27896.5</v>
      </c>
      <c r="Q9" s="81">
        <f>M9*O9/C8</f>
        <v>27896.5</v>
      </c>
      <c r="R9" s="79"/>
      <c r="S9" s="14">
        <f t="shared" ref="S9" si="11">F9-E9*C9+K9</f>
        <v>852475.85499999998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1064</v>
      </c>
      <c r="B10" s="76" t="s">
        <v>1050</v>
      </c>
      <c r="C10" s="76">
        <v>143</v>
      </c>
      <c r="D10" s="76" t="s">
        <v>61</v>
      </c>
      <c r="E10" s="77">
        <v>70003</v>
      </c>
      <c r="F10" s="77">
        <v>10017729</v>
      </c>
      <c r="G10" s="76">
        <v>0</v>
      </c>
      <c r="H10" s="76">
        <v>0</v>
      </c>
      <c r="I10" s="77">
        <f t="shared" si="0"/>
        <v>0</v>
      </c>
      <c r="J10" s="76">
        <v>7.2499999999999995E-2</v>
      </c>
      <c r="K10" s="77">
        <f t="shared" si="7"/>
        <v>7257.5610249999991</v>
      </c>
      <c r="L10" s="76">
        <f t="shared" ref="L10" si="12">(E10*(1+J10/100)+I10/C10)/(1-J11/100)</f>
        <v>70104.577994045685</v>
      </c>
      <c r="M10" s="78"/>
      <c r="N10" s="76"/>
      <c r="O10" s="76"/>
      <c r="P10" s="78"/>
      <c r="Q10" s="78"/>
      <c r="R10" s="76"/>
      <c r="S10" s="14">
        <v>0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1064</v>
      </c>
      <c r="B11" s="76" t="s">
        <v>1050</v>
      </c>
      <c r="C11" s="76">
        <v>143</v>
      </c>
      <c r="D11" s="76" t="s">
        <v>976</v>
      </c>
      <c r="E11" s="77">
        <v>70500</v>
      </c>
      <c r="F11" s="77">
        <v>10074191</v>
      </c>
      <c r="G11" s="76">
        <v>0</v>
      </c>
      <c r="H11" s="76">
        <v>0</v>
      </c>
      <c r="I11" s="77">
        <f t="shared" si="0"/>
        <v>0</v>
      </c>
      <c r="J11" s="76">
        <v>7.2499999999999995E-2</v>
      </c>
      <c r="K11" s="77">
        <f t="shared" si="7"/>
        <v>7309.0874999999996</v>
      </c>
      <c r="L11" s="76">
        <v>2</v>
      </c>
      <c r="M11" s="78">
        <f>F11-F10</f>
        <v>56462</v>
      </c>
      <c r="N11" s="76">
        <v>71.5</v>
      </c>
      <c r="O11" s="76">
        <f>C10-N11</f>
        <v>71.5</v>
      </c>
      <c r="P11" s="78">
        <f>M11*N11/C10</f>
        <v>28231</v>
      </c>
      <c r="Q11" s="78">
        <f>M11*O11/C10</f>
        <v>28231</v>
      </c>
      <c r="R11" s="76"/>
      <c r="S11" s="14">
        <v>0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1064</v>
      </c>
      <c r="B12" s="79" t="s">
        <v>965</v>
      </c>
      <c r="C12" s="79">
        <v>500</v>
      </c>
      <c r="D12" s="79" t="s">
        <v>61</v>
      </c>
      <c r="E12" s="80">
        <v>80620</v>
      </c>
      <c r="F12" s="80">
        <v>40339223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si="7"/>
        <v>29224.75</v>
      </c>
      <c r="L12" s="79">
        <f t="shared" si="9"/>
        <v>80736.983813264611</v>
      </c>
      <c r="M12" s="81"/>
      <c r="N12" s="79"/>
      <c r="O12" s="79"/>
      <c r="P12" s="81"/>
      <c r="Q12" s="81"/>
      <c r="R12" s="79"/>
      <c r="S12" s="14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504312.32876712334</v>
      </c>
      <c r="AC12" s="86">
        <f>SUM(AC4:AC10)</f>
        <v>343983.56164383562</v>
      </c>
      <c r="AD12" s="86">
        <f>SUM(AD4:AD10)</f>
        <v>160328.76712328769</v>
      </c>
      <c r="AE12" s="86">
        <f>SUM(AE4:AE11)</f>
        <v>86943983.561643839</v>
      </c>
      <c r="AF12" s="86">
        <f>SUM(AF4:AF11)</f>
        <v>92160328.767123297</v>
      </c>
      <c r="AG12" s="86">
        <f>SUM(AG4:AG10)</f>
        <v>179104312.32876715</v>
      </c>
    </row>
    <row r="13" spans="1:33" x14ac:dyDescent="0.25">
      <c r="A13" s="79" t="s">
        <v>1064</v>
      </c>
      <c r="B13" s="79" t="s">
        <v>965</v>
      </c>
      <c r="C13" s="79">
        <v>500</v>
      </c>
      <c r="D13" s="79" t="s">
        <v>976</v>
      </c>
      <c r="E13" s="80">
        <v>80980</v>
      </c>
      <c r="F13" s="80">
        <v>40460644</v>
      </c>
      <c r="G13" s="79">
        <v>0</v>
      </c>
      <c r="H13" s="79">
        <v>0</v>
      </c>
      <c r="I13" s="80"/>
      <c r="J13" s="79">
        <v>7.2499999999999995E-2</v>
      </c>
      <c r="K13" s="80">
        <f t="shared" si="7"/>
        <v>29355.25</v>
      </c>
      <c r="L13" s="79">
        <v>2</v>
      </c>
      <c r="M13" s="81">
        <f>F13-F12</f>
        <v>121421</v>
      </c>
      <c r="N13" s="79">
        <v>250</v>
      </c>
      <c r="O13" s="79">
        <v>250</v>
      </c>
      <c r="P13" s="81">
        <f>M13*N13/C12</f>
        <v>60710.5</v>
      </c>
      <c r="Q13" s="81">
        <f>M13*O13/C12</f>
        <v>60710.5</v>
      </c>
      <c r="R13" s="79"/>
      <c r="S13" s="14">
        <v>0</v>
      </c>
    </row>
    <row r="14" spans="1:33" x14ac:dyDescent="0.25">
      <c r="A14" s="76" t="s">
        <v>1064</v>
      </c>
      <c r="B14" s="76" t="s">
        <v>1050</v>
      </c>
      <c r="C14" s="76">
        <v>140</v>
      </c>
      <c r="D14" s="76" t="s">
        <v>1066</v>
      </c>
      <c r="E14" s="77">
        <v>70502</v>
      </c>
      <c r="F14" s="77">
        <v>9877463</v>
      </c>
      <c r="G14" s="76">
        <v>0</v>
      </c>
      <c r="H14" s="76">
        <v>0</v>
      </c>
      <c r="I14" s="77"/>
      <c r="J14" s="76">
        <v>7.2499999999999995E-2</v>
      </c>
      <c r="K14" s="77">
        <f t="shared" si="7"/>
        <v>7155.9529999999995</v>
      </c>
      <c r="L14" s="76">
        <f t="shared" ref="L14" si="13">(E14*(1+J14/100)+I14/C14)/(1-J15/100)</f>
        <v>70604.302069000027</v>
      </c>
      <c r="M14" s="78"/>
      <c r="N14" s="76"/>
      <c r="O14" s="76"/>
      <c r="P14" s="78"/>
      <c r="Q14" s="78"/>
      <c r="R14" s="76"/>
      <c r="S14" s="14">
        <v>0</v>
      </c>
      <c r="Z14" t="s">
        <v>756</v>
      </c>
      <c r="AA14" t="s">
        <v>453</v>
      </c>
    </row>
    <row r="15" spans="1:33" x14ac:dyDescent="0.25">
      <c r="A15" s="76" t="s">
        <v>1064</v>
      </c>
      <c r="B15" s="76" t="s">
        <v>1050</v>
      </c>
      <c r="C15" s="76">
        <v>140</v>
      </c>
      <c r="D15" s="76" t="s">
        <v>976</v>
      </c>
      <c r="E15" s="77">
        <v>71186</v>
      </c>
      <c r="F15" s="77">
        <v>9958940</v>
      </c>
      <c r="G15" s="76">
        <v>0</v>
      </c>
      <c r="H15" s="76">
        <v>0</v>
      </c>
      <c r="I15" s="77"/>
      <c r="J15" s="76">
        <v>7.2499999999999995E-2</v>
      </c>
      <c r="K15" s="77">
        <f t="shared" si="7"/>
        <v>7225.378999999999</v>
      </c>
      <c r="L15" s="76">
        <v>3</v>
      </c>
      <c r="M15" s="78">
        <f>F15-F14</f>
        <v>81477</v>
      </c>
      <c r="N15" s="76">
        <v>70</v>
      </c>
      <c r="O15" s="76">
        <v>70</v>
      </c>
      <c r="P15" s="78">
        <f>M15*N15/C14</f>
        <v>40738.5</v>
      </c>
      <c r="Q15" s="78">
        <f>M15*O15/C14</f>
        <v>40738.5</v>
      </c>
      <c r="R15" s="76"/>
      <c r="S15" s="14">
        <v>0</v>
      </c>
      <c r="Y15" t="s">
        <v>1071</v>
      </c>
      <c r="Z15" s="7">
        <f>Z12+Q63</f>
        <v>93771803.5</v>
      </c>
      <c r="AA15" s="7">
        <f>Y12+P63</f>
        <v>89773087.5</v>
      </c>
    </row>
    <row r="16" spans="1:33" x14ac:dyDescent="0.25">
      <c r="A16" s="79" t="s">
        <v>952</v>
      </c>
      <c r="B16" s="79" t="s">
        <v>965</v>
      </c>
      <c r="C16" s="79">
        <v>3</v>
      </c>
      <c r="D16" s="79" t="s">
        <v>61</v>
      </c>
      <c r="E16" s="80">
        <v>80100</v>
      </c>
      <c r="F16" s="80">
        <v>240474</v>
      </c>
      <c r="G16" s="79">
        <v>5</v>
      </c>
      <c r="H16" s="79">
        <v>0</v>
      </c>
      <c r="I16" s="80">
        <f>F16*G16*($AB$2-H16)/(36500)</f>
        <v>724.71616438356159</v>
      </c>
      <c r="J16" s="79">
        <v>7.2499999999999995E-2</v>
      </c>
      <c r="K16" s="80">
        <f t="shared" si="7"/>
        <v>174.2175</v>
      </c>
      <c r="L16" s="79">
        <f t="shared" si="9"/>
        <v>80457.976587820696</v>
      </c>
      <c r="M16" s="81"/>
      <c r="N16" s="79"/>
      <c r="O16" s="79"/>
      <c r="P16" s="81"/>
      <c r="Q16" s="81"/>
      <c r="R16" s="79"/>
      <c r="S16" s="14">
        <v>0</v>
      </c>
      <c r="Y16" t="s">
        <v>1072</v>
      </c>
      <c r="Z16" s="7">
        <f>Z15-AF12</f>
        <v>1611474.7328767031</v>
      </c>
      <c r="AA16" s="7">
        <f>AA15-AE12</f>
        <v>2829103.9383561611</v>
      </c>
    </row>
    <row r="17" spans="1:30" x14ac:dyDescent="0.25">
      <c r="A17" s="79" t="s">
        <v>1064</v>
      </c>
      <c r="B17" s="79" t="s">
        <v>965</v>
      </c>
      <c r="C17" s="79">
        <v>3</v>
      </c>
      <c r="D17" s="79" t="s">
        <v>976</v>
      </c>
      <c r="E17" s="80">
        <v>81000</v>
      </c>
      <c r="F17" s="80">
        <v>243596</v>
      </c>
      <c r="G17" s="79">
        <v>0</v>
      </c>
      <c r="H17" s="79">
        <v>0</v>
      </c>
      <c r="I17" s="80"/>
      <c r="J17" s="79">
        <v>7.2499999999999995E-2</v>
      </c>
      <c r="K17" s="80">
        <f t="shared" si="7"/>
        <v>176.17500000000001</v>
      </c>
      <c r="L17" s="79">
        <v>3</v>
      </c>
      <c r="M17" s="81">
        <f>F17-F16</f>
        <v>3122</v>
      </c>
      <c r="N17" s="79">
        <v>1.5</v>
      </c>
      <c r="O17" s="79">
        <v>1.5</v>
      </c>
      <c r="P17" s="81">
        <f>M17*N17/C16</f>
        <v>1561</v>
      </c>
      <c r="Q17" s="81">
        <f>M17*O17/C16</f>
        <v>1561</v>
      </c>
      <c r="R17" s="79"/>
      <c r="S17" s="14">
        <v>0</v>
      </c>
    </row>
    <row r="18" spans="1:30" x14ac:dyDescent="0.25">
      <c r="A18" s="76" t="s">
        <v>952</v>
      </c>
      <c r="B18" s="76" t="s">
        <v>965</v>
      </c>
      <c r="C18" s="76">
        <v>497</v>
      </c>
      <c r="D18" s="76" t="s">
        <v>61</v>
      </c>
      <c r="E18" s="77">
        <v>80100</v>
      </c>
      <c r="F18" s="77">
        <v>39838611</v>
      </c>
      <c r="G18" s="76">
        <v>6</v>
      </c>
      <c r="H18" s="76">
        <v>0</v>
      </c>
      <c r="I18" s="77">
        <f>F18*G18*($AB$2-H18)/(36500)</f>
        <v>144073.88087671233</v>
      </c>
      <c r="J18" s="76">
        <v>7.2499999999999995E-2</v>
      </c>
      <c r="K18" s="77">
        <f>C18*E18*J18/100</f>
        <v>28862.032500000001</v>
      </c>
      <c r="L18" s="76">
        <f t="shared" ref="L18" si="14">(E18*(1+J18/100)+I18/C18)/(1-J19/100)</f>
        <v>80506.326671095536</v>
      </c>
      <c r="M18" s="76"/>
      <c r="N18" s="76"/>
      <c r="O18" s="76"/>
      <c r="P18" s="76"/>
      <c r="Q18" s="76"/>
      <c r="R18" s="77">
        <v>81000</v>
      </c>
      <c r="S18" s="14">
        <v>0</v>
      </c>
    </row>
    <row r="19" spans="1:30" x14ac:dyDescent="0.25">
      <c r="A19" s="76" t="s">
        <v>1075</v>
      </c>
      <c r="B19" s="76" t="s">
        <v>965</v>
      </c>
      <c r="C19" s="76">
        <v>497</v>
      </c>
      <c r="D19" s="76" t="s">
        <v>976</v>
      </c>
      <c r="E19" s="77">
        <v>81400</v>
      </c>
      <c r="F19" s="77">
        <v>40426469</v>
      </c>
      <c r="G19" s="76">
        <v>0</v>
      </c>
      <c r="H19" s="76">
        <v>0</v>
      </c>
      <c r="I19" s="77">
        <f>F19*G19*($AB$2-H19)/(36500)</f>
        <v>0</v>
      </c>
      <c r="J19" s="76">
        <v>7.2499999999999995E-2</v>
      </c>
      <c r="K19" s="77">
        <f>C19*E19*J19/100</f>
        <v>29330.455000000002</v>
      </c>
      <c r="L19" s="76">
        <v>4</v>
      </c>
      <c r="M19" s="78">
        <f>F19-F18</f>
        <v>587858</v>
      </c>
      <c r="N19" s="76">
        <v>248.5</v>
      </c>
      <c r="O19" s="76">
        <f>C18-N19</f>
        <v>248.5</v>
      </c>
      <c r="P19" s="78">
        <f>M19*N19/C18</f>
        <v>293929</v>
      </c>
      <c r="Q19" s="78">
        <f>M19*O19/C18</f>
        <v>293929</v>
      </c>
      <c r="R19" s="76"/>
      <c r="S19" s="14">
        <v>0</v>
      </c>
    </row>
    <row r="20" spans="1:30" x14ac:dyDescent="0.25">
      <c r="A20" s="79" t="s">
        <v>960</v>
      </c>
      <c r="B20" s="79" t="s">
        <v>987</v>
      </c>
      <c r="C20" s="79">
        <v>100</v>
      </c>
      <c r="D20" s="79" t="s">
        <v>61</v>
      </c>
      <c r="E20" s="80">
        <v>97875</v>
      </c>
      <c r="F20" s="80">
        <v>10210616</v>
      </c>
      <c r="G20" s="79">
        <v>2</v>
      </c>
      <c r="H20" s="79">
        <v>21</v>
      </c>
      <c r="I20" s="80">
        <f>F20*G20*($AB$2-H20)/(36500)</f>
        <v>559.48580821917813</v>
      </c>
      <c r="J20" s="79">
        <v>7.2499999999999995E-2</v>
      </c>
      <c r="K20" s="80">
        <f t="shared" ref="K20:K21" si="15">C20*E20*J20/100</f>
        <v>7095.9375</v>
      </c>
      <c r="L20" s="79">
        <f t="shared" si="9"/>
        <v>98022.620633041151</v>
      </c>
      <c r="M20" s="81"/>
      <c r="N20" s="79"/>
      <c r="O20" s="79"/>
      <c r="P20" s="81"/>
      <c r="Q20" s="81"/>
      <c r="R20" s="79"/>
      <c r="S20" s="14">
        <f t="shared" ref="S20" si="16">C20*E20+K20-F20</f>
        <v>-416020.0625</v>
      </c>
    </row>
    <row r="21" spans="1:30" x14ac:dyDescent="0.25">
      <c r="A21" s="79" t="s">
        <v>1075</v>
      </c>
      <c r="B21" s="79" t="s">
        <v>987</v>
      </c>
      <c r="C21" s="79">
        <v>100</v>
      </c>
      <c r="D21" s="79" t="s">
        <v>976</v>
      </c>
      <c r="E21" s="80">
        <v>99999</v>
      </c>
      <c r="F21" s="80">
        <v>10420633</v>
      </c>
      <c r="G21" s="79"/>
      <c r="H21" s="79"/>
      <c r="I21" s="80"/>
      <c r="J21" s="79">
        <v>7.2499999999999995E-2</v>
      </c>
      <c r="K21" s="80">
        <f t="shared" si="15"/>
        <v>7249.9274999999998</v>
      </c>
      <c r="L21" s="79">
        <v>4</v>
      </c>
      <c r="M21" s="81">
        <f>F21-F20</f>
        <v>210017</v>
      </c>
      <c r="N21" s="79">
        <v>50</v>
      </c>
      <c r="O21" s="79">
        <v>50</v>
      </c>
      <c r="P21" s="81">
        <f>M21*N21/C20</f>
        <v>105008.5</v>
      </c>
      <c r="Q21" s="81">
        <f>M21*O21/C20</f>
        <v>105008.5</v>
      </c>
      <c r="R21" s="79"/>
      <c r="S21" s="14">
        <f t="shared" ref="S21" si="17">F21-E21*C21+K21</f>
        <v>427982.92749999999</v>
      </c>
    </row>
    <row r="22" spans="1:30" x14ac:dyDescent="0.25">
      <c r="A22" s="76" t="s">
        <v>960</v>
      </c>
      <c r="B22" s="76" t="s">
        <v>974</v>
      </c>
      <c r="C22" s="76">
        <v>300</v>
      </c>
      <c r="D22" s="76" t="s">
        <v>61</v>
      </c>
      <c r="E22" s="77">
        <v>97328</v>
      </c>
      <c r="F22" s="77">
        <v>29634633</v>
      </c>
      <c r="G22" s="76">
        <v>2</v>
      </c>
      <c r="H22" s="76">
        <v>21</v>
      </c>
      <c r="I22" s="77">
        <f>F22*G22*($AB$2-H22)/(36500)</f>
        <v>1623.8155068493152</v>
      </c>
      <c r="J22" s="76">
        <v>7.2499999999999995E-2</v>
      </c>
      <c r="K22" s="77">
        <f t="shared" ref="K22:K23" si="18">C22*E22*J22/100</f>
        <v>21168.84</v>
      </c>
      <c r="L22" s="76">
        <f t="shared" ref="L22" si="19">(E22*(1+J22/100)+I22/C22)/(1-J23/100)</f>
        <v>97474.644635717079</v>
      </c>
      <c r="M22" s="78"/>
      <c r="N22" s="76"/>
      <c r="O22" s="76"/>
      <c r="P22" s="78"/>
      <c r="Q22" s="78"/>
      <c r="R22" s="76"/>
      <c r="S22" s="14">
        <f t="shared" ref="S22" si="20">C22*E22+K22-F22</f>
        <v>-415064.16000000015</v>
      </c>
    </row>
    <row r="23" spans="1:30" x14ac:dyDescent="0.25">
      <c r="A23" s="76" t="s">
        <v>1075</v>
      </c>
      <c r="B23" s="76" t="s">
        <v>974</v>
      </c>
      <c r="C23" s="76">
        <v>300</v>
      </c>
      <c r="D23" s="76" t="s">
        <v>976</v>
      </c>
      <c r="E23" s="77">
        <v>99000</v>
      </c>
      <c r="F23" s="77">
        <v>30127096</v>
      </c>
      <c r="G23" s="76">
        <v>0</v>
      </c>
      <c r="H23" s="76"/>
      <c r="I23" s="77"/>
      <c r="J23" s="76">
        <v>7.2499999999999995E-2</v>
      </c>
      <c r="K23" s="77">
        <f t="shared" si="18"/>
        <v>21532.5</v>
      </c>
      <c r="L23" s="76">
        <v>5</v>
      </c>
      <c r="M23" s="78">
        <f>F23-F22</f>
        <v>492463</v>
      </c>
      <c r="N23" s="76">
        <v>150</v>
      </c>
      <c r="O23" s="76">
        <v>150</v>
      </c>
      <c r="P23" s="78">
        <f>M23*N23/C22</f>
        <v>246231.5</v>
      </c>
      <c r="Q23" s="78">
        <f>M23*O23/C22</f>
        <v>246231.5</v>
      </c>
      <c r="R23" s="76"/>
      <c r="S23" s="14">
        <f t="shared" ref="S23" si="21">F23-E23*C23+K23</f>
        <v>448628.5</v>
      </c>
      <c r="AD23" t="s">
        <v>25</v>
      </c>
    </row>
    <row r="24" spans="1:30" x14ac:dyDescent="0.25">
      <c r="A24" s="79" t="s">
        <v>960</v>
      </c>
      <c r="B24" s="79" t="s">
        <v>987</v>
      </c>
      <c r="C24" s="79">
        <v>200</v>
      </c>
      <c r="D24" s="79" t="s">
        <v>61</v>
      </c>
      <c r="E24" s="80">
        <v>97875</v>
      </c>
      <c r="F24" s="80">
        <v>20421232</v>
      </c>
      <c r="G24" s="79">
        <v>2</v>
      </c>
      <c r="H24" s="79">
        <v>21</v>
      </c>
      <c r="I24" s="80">
        <f>F24*G24*($AB$2-H24)/(36500)</f>
        <v>1118.9716164383563</v>
      </c>
      <c r="J24" s="79">
        <v>7.2499999999999995E-2</v>
      </c>
      <c r="K24" s="80">
        <f t="shared" ref="K24:K27" si="22">C24*E24*J24/100</f>
        <v>14191.875</v>
      </c>
      <c r="L24" s="79">
        <f t="shared" si="9"/>
        <v>98022.620633041151</v>
      </c>
      <c r="M24" s="81"/>
      <c r="N24" s="79"/>
      <c r="O24" s="79"/>
      <c r="P24" s="81"/>
      <c r="Q24" s="81"/>
      <c r="R24" s="79"/>
      <c r="S24" s="14">
        <f t="shared" ref="S24" si="23">C24*E24+K24-F24</f>
        <v>-832040.125</v>
      </c>
      <c r="AA24" s="7"/>
    </row>
    <row r="25" spans="1:30" x14ac:dyDescent="0.25">
      <c r="A25" s="79" t="s">
        <v>1075</v>
      </c>
      <c r="B25" s="79" t="s">
        <v>987</v>
      </c>
      <c r="C25" s="79">
        <v>200</v>
      </c>
      <c r="D25" s="79" t="s">
        <v>976</v>
      </c>
      <c r="E25" s="80">
        <v>99999</v>
      </c>
      <c r="F25" s="80">
        <v>20841265</v>
      </c>
      <c r="G25" s="79"/>
      <c r="H25" s="79"/>
      <c r="I25" s="80"/>
      <c r="J25" s="79">
        <v>7.2499999999999995E-2</v>
      </c>
      <c r="K25" s="80">
        <f t="shared" si="22"/>
        <v>14499.855</v>
      </c>
      <c r="L25" s="79">
        <v>5</v>
      </c>
      <c r="M25" s="81">
        <f>F25-F24</f>
        <v>420033</v>
      </c>
      <c r="N25" s="79">
        <v>100</v>
      </c>
      <c r="O25" s="79">
        <v>100</v>
      </c>
      <c r="P25" s="81">
        <f>M25*N25/C24</f>
        <v>210016.5</v>
      </c>
      <c r="Q25" s="81">
        <f>M25*O25/C24</f>
        <v>210016.5</v>
      </c>
      <c r="R25" s="79"/>
      <c r="S25" s="14">
        <f t="shared" ref="S25" si="24">F25-E25*C25+K25</f>
        <v>855964.85499999998</v>
      </c>
    </row>
    <row r="26" spans="1:30" x14ac:dyDescent="0.25">
      <c r="A26" s="76" t="s">
        <v>961</v>
      </c>
      <c r="B26" s="76" t="s">
        <v>981</v>
      </c>
      <c r="C26" s="76">
        <v>100</v>
      </c>
      <c r="D26" s="76" t="s">
        <v>61</v>
      </c>
      <c r="E26" s="77">
        <v>97219</v>
      </c>
      <c r="F26" s="77">
        <v>9734617</v>
      </c>
      <c r="G26" s="76">
        <v>5</v>
      </c>
      <c r="H26" s="76">
        <v>21</v>
      </c>
      <c r="I26" s="77">
        <f>F26*G26*($AB$2-H26)/(36500)</f>
        <v>1333.5091780821917</v>
      </c>
      <c r="J26" s="76">
        <v>7.2499999999999995E-2</v>
      </c>
      <c r="K26" s="77">
        <f t="shared" si="22"/>
        <v>7048.3774999999996</v>
      </c>
      <c r="L26" s="76">
        <f t="shared" ref="L26" si="25">(E26*(1+J26/100)+I26/C26)/(1-J27/100)</f>
        <v>97373.414592360306</v>
      </c>
      <c r="M26" s="76"/>
      <c r="N26" s="76"/>
      <c r="O26" s="76"/>
      <c r="P26" s="78"/>
      <c r="Q26" s="78"/>
      <c r="R26" s="76"/>
      <c r="S26" s="14">
        <f t="shared" ref="S26" si="26">C26*E26+K26-F26</f>
        <v>-5668.6225000005215</v>
      </c>
    </row>
    <row r="27" spans="1:30" x14ac:dyDescent="0.25">
      <c r="A27" s="76" t="s">
        <v>1075</v>
      </c>
      <c r="B27" s="76" t="s">
        <v>981</v>
      </c>
      <c r="C27" s="76">
        <v>100</v>
      </c>
      <c r="D27" s="76" t="s">
        <v>976</v>
      </c>
      <c r="E27" s="77">
        <v>99500</v>
      </c>
      <c r="F27" s="77">
        <v>9976490</v>
      </c>
      <c r="G27" s="76">
        <v>0</v>
      </c>
      <c r="H27" s="76"/>
      <c r="I27" s="77"/>
      <c r="J27" s="76">
        <v>7.2499999999999995E-2</v>
      </c>
      <c r="K27" s="77">
        <f t="shared" si="22"/>
        <v>7213.75</v>
      </c>
      <c r="L27" s="76">
        <v>6</v>
      </c>
      <c r="M27" s="78">
        <f>F27-F26</f>
        <v>241873</v>
      </c>
      <c r="N27" s="76">
        <v>50</v>
      </c>
      <c r="O27" s="76">
        <v>50</v>
      </c>
      <c r="P27" s="78">
        <f>M27*N27/C26</f>
        <v>120936.5</v>
      </c>
      <c r="Q27" s="78">
        <f>M27*O27/C26</f>
        <v>120936.5</v>
      </c>
      <c r="R27" s="76"/>
      <c r="S27" s="14">
        <f t="shared" ref="S27" si="27">F27-E27*C27+K27</f>
        <v>33703.75</v>
      </c>
      <c r="AA27" t="s">
        <v>25</v>
      </c>
    </row>
    <row r="28" spans="1:30" x14ac:dyDescent="0.25">
      <c r="A28" s="79" t="s">
        <v>1075</v>
      </c>
      <c r="B28" s="79" t="s">
        <v>981</v>
      </c>
      <c r="C28" s="79">
        <v>100</v>
      </c>
      <c r="D28" s="79" t="s">
        <v>61</v>
      </c>
      <c r="E28" s="80">
        <v>99000</v>
      </c>
      <c r="F28" s="80">
        <v>9940881</v>
      </c>
      <c r="G28" s="79">
        <v>0</v>
      </c>
      <c r="H28" s="79">
        <v>21</v>
      </c>
      <c r="I28" s="80">
        <f>F28*G28*($AB$2-H28)/(36500)</f>
        <v>0</v>
      </c>
      <c r="J28" s="79">
        <v>7.2499999999999995E-2</v>
      </c>
      <c r="K28" s="80">
        <f t="shared" ref="K28:K29" si="28">C28*E28*J28/100</f>
        <v>7177.5</v>
      </c>
      <c r="L28" s="79">
        <f t="shared" si="9"/>
        <v>99143.654149258218</v>
      </c>
      <c r="M28" s="81"/>
      <c r="N28" s="79"/>
      <c r="O28" s="79"/>
      <c r="P28" s="81"/>
      <c r="Q28" s="81"/>
      <c r="R28" s="79"/>
      <c r="S28" s="14">
        <f t="shared" ref="S28" si="29">C28*E28+K28-F28</f>
        <v>-33703.5</v>
      </c>
    </row>
    <row r="29" spans="1:30" x14ac:dyDescent="0.25">
      <c r="A29" s="79" t="s">
        <v>1075</v>
      </c>
      <c r="B29" s="79" t="s">
        <v>981</v>
      </c>
      <c r="C29" s="79">
        <v>100</v>
      </c>
      <c r="D29" s="79" t="s">
        <v>976</v>
      </c>
      <c r="E29" s="80">
        <v>99200</v>
      </c>
      <c r="F29" s="80">
        <v>9946511</v>
      </c>
      <c r="G29" s="79"/>
      <c r="H29" s="79"/>
      <c r="I29" s="80"/>
      <c r="J29" s="79">
        <v>7.2499999999999995E-2</v>
      </c>
      <c r="K29" s="80">
        <f t="shared" si="28"/>
        <v>7192</v>
      </c>
      <c r="L29" s="79">
        <v>6</v>
      </c>
      <c r="M29" s="81">
        <f>F29-F28</f>
        <v>5630</v>
      </c>
      <c r="N29" s="79">
        <v>50</v>
      </c>
      <c r="O29" s="79">
        <v>50</v>
      </c>
      <c r="P29" s="81">
        <f>M29*N29/C28</f>
        <v>2815</v>
      </c>
      <c r="Q29" s="81">
        <f>M29*O29/C28</f>
        <v>2815</v>
      </c>
      <c r="R29" s="79"/>
      <c r="S29" s="14">
        <f t="shared" ref="S29" si="30">F29-E29*C29+K29</f>
        <v>33703</v>
      </c>
    </row>
    <row r="30" spans="1:30" x14ac:dyDescent="0.25">
      <c r="A30" s="76" t="s">
        <v>960</v>
      </c>
      <c r="B30" s="76" t="s">
        <v>974</v>
      </c>
      <c r="C30" s="76">
        <v>100</v>
      </c>
      <c r="D30" s="76" t="s">
        <v>61</v>
      </c>
      <c r="E30" s="77">
        <v>97328</v>
      </c>
      <c r="F30" s="77">
        <v>9878211</v>
      </c>
      <c r="G30" s="76">
        <v>2</v>
      </c>
      <c r="H30" s="76">
        <v>21</v>
      </c>
      <c r="I30" s="77">
        <f>F30*G30*($AB$2-H30)/(36500)</f>
        <v>541.27183561643835</v>
      </c>
      <c r="J30" s="76">
        <v>7.2499999999999995E-2</v>
      </c>
      <c r="K30" s="77">
        <f t="shared" ref="K30:K45" si="31">C30*E30*J30/100</f>
        <v>7056.28</v>
      </c>
      <c r="L30" s="76">
        <f t="shared" ref="L30" si="32">(E30*(1+J30/100)+I30/C30)/(1-J31/100)</f>
        <v>97474.644635717079</v>
      </c>
      <c r="M30" s="78"/>
      <c r="N30" s="76"/>
      <c r="O30" s="76"/>
      <c r="P30" s="78"/>
      <c r="Q30" s="78"/>
      <c r="R30" s="76"/>
      <c r="S30" s="14">
        <f t="shared" ref="S30" si="33">C30*E30+K30-F30</f>
        <v>-138354.72000000067</v>
      </c>
    </row>
    <row r="31" spans="1:30" x14ac:dyDescent="0.25">
      <c r="A31" s="76" t="s">
        <v>1075</v>
      </c>
      <c r="B31" s="76" t="s">
        <v>974</v>
      </c>
      <c r="C31" s="76">
        <v>100</v>
      </c>
      <c r="D31" s="76" t="s">
        <v>976</v>
      </c>
      <c r="E31" s="77">
        <v>99000</v>
      </c>
      <c r="F31" s="77">
        <v>10042365</v>
      </c>
      <c r="G31" s="76"/>
      <c r="H31" s="76"/>
      <c r="I31" s="77"/>
      <c r="J31" s="76">
        <v>7.2499999999999995E-2</v>
      </c>
      <c r="K31" s="77">
        <f t="shared" si="31"/>
        <v>7177.5</v>
      </c>
      <c r="L31" s="76">
        <v>7</v>
      </c>
      <c r="M31" s="78">
        <f>F31-F30</f>
        <v>164154</v>
      </c>
      <c r="N31" s="76">
        <v>50</v>
      </c>
      <c r="O31" s="76">
        <v>50</v>
      </c>
      <c r="P31" s="78">
        <f t="shared" ref="P31" si="34">M31*N31/C30</f>
        <v>82077</v>
      </c>
      <c r="Q31" s="78">
        <f t="shared" ref="Q31" si="35">M31*O31/C30</f>
        <v>82077</v>
      </c>
      <c r="R31" s="76"/>
      <c r="S31" s="14">
        <f t="shared" ref="S31" si="36">F31-E31*C31+K31</f>
        <v>149542.5</v>
      </c>
    </row>
    <row r="32" spans="1:30" x14ac:dyDescent="0.25">
      <c r="A32" s="79" t="s">
        <v>1075</v>
      </c>
      <c r="B32" s="79" t="s">
        <v>988</v>
      </c>
      <c r="C32" s="79">
        <v>500</v>
      </c>
      <c r="D32" s="79" t="s">
        <v>61</v>
      </c>
      <c r="E32" s="80">
        <v>91000</v>
      </c>
      <c r="F32" s="80">
        <v>46785986</v>
      </c>
      <c r="G32" s="79">
        <v>0</v>
      </c>
      <c r="H32" s="79">
        <v>16</v>
      </c>
      <c r="I32" s="80">
        <f>F32*G32*($AB$2-H32)/(36500)</f>
        <v>0</v>
      </c>
      <c r="J32" s="79">
        <v>7.2499999999999995E-2</v>
      </c>
      <c r="K32" s="80">
        <f t="shared" si="31"/>
        <v>32987.5</v>
      </c>
      <c r="L32" s="79">
        <f t="shared" si="9"/>
        <v>91132.045733156541</v>
      </c>
      <c r="M32" s="81"/>
      <c r="N32" s="79"/>
      <c r="O32" s="79"/>
      <c r="P32" s="81"/>
      <c r="Q32" s="81"/>
      <c r="R32" s="79"/>
      <c r="S32" s="14">
        <f t="shared" ref="S32" si="37">C32*E32+K32-F32</f>
        <v>-1252998.5</v>
      </c>
    </row>
    <row r="33" spans="1:23" x14ac:dyDescent="0.25">
      <c r="A33" s="79" t="s">
        <v>1075</v>
      </c>
      <c r="B33" s="79" t="s">
        <v>988</v>
      </c>
      <c r="C33" s="79">
        <v>500</v>
      </c>
      <c r="D33" s="79" t="s">
        <v>976</v>
      </c>
      <c r="E33" s="80">
        <v>92000</v>
      </c>
      <c r="F33" s="80">
        <v>47219599</v>
      </c>
      <c r="G33" s="79"/>
      <c r="H33" s="79"/>
      <c r="I33" s="80"/>
      <c r="J33" s="79">
        <v>7.2499999999999995E-2</v>
      </c>
      <c r="K33" s="80">
        <f t="shared" si="31"/>
        <v>33350</v>
      </c>
      <c r="L33" s="79">
        <v>7</v>
      </c>
      <c r="M33" s="81">
        <f>F33-F32</f>
        <v>433613</v>
      </c>
      <c r="N33" s="79">
        <v>250</v>
      </c>
      <c r="O33" s="79">
        <v>250</v>
      </c>
      <c r="P33" s="81">
        <f t="shared" ref="P33" si="38">M33*N33/C32</f>
        <v>216806.5</v>
      </c>
      <c r="Q33" s="81">
        <f t="shared" ref="Q33" si="39">M33*O33/C32</f>
        <v>216806.5</v>
      </c>
      <c r="R33" s="79"/>
      <c r="S33" s="14">
        <f t="shared" ref="S33" si="40">F33-E33*C33+K33</f>
        <v>1252949</v>
      </c>
    </row>
    <row r="34" spans="1:23" x14ac:dyDescent="0.25">
      <c r="A34" s="76" t="s">
        <v>960</v>
      </c>
      <c r="B34" s="76" t="s">
        <v>974</v>
      </c>
      <c r="C34" s="76">
        <v>100</v>
      </c>
      <c r="D34" s="76" t="s">
        <v>61</v>
      </c>
      <c r="E34" s="77">
        <v>97328</v>
      </c>
      <c r="F34" s="77">
        <v>9878211</v>
      </c>
      <c r="G34" s="76">
        <v>2</v>
      </c>
      <c r="H34" s="76">
        <v>21</v>
      </c>
      <c r="I34" s="77">
        <f>F34*G34*($AB$2-H34)/(36500)</f>
        <v>541.27183561643835</v>
      </c>
      <c r="J34" s="76">
        <v>7.2499999999999995E-2</v>
      </c>
      <c r="K34" s="77">
        <f t="shared" si="31"/>
        <v>7056.28</v>
      </c>
      <c r="L34" s="76">
        <f t="shared" ref="L34" si="41">(E34*(1+J34/100)+I34/C34)/(1-J35/100)</f>
        <v>97474.644635717079</v>
      </c>
      <c r="M34" s="78"/>
      <c r="N34" s="76"/>
      <c r="O34" s="76"/>
      <c r="P34" s="78"/>
      <c r="Q34" s="78"/>
      <c r="R34" s="76"/>
      <c r="S34" s="14">
        <f t="shared" ref="S34" si="42">C34*E34+K34-F34</f>
        <v>-138354.72000000067</v>
      </c>
    </row>
    <row r="35" spans="1:23" x14ac:dyDescent="0.25">
      <c r="A35" s="76" t="s">
        <v>1075</v>
      </c>
      <c r="B35" s="76" t="s">
        <v>974</v>
      </c>
      <c r="C35" s="76">
        <v>100</v>
      </c>
      <c r="D35" s="76" t="s">
        <v>976</v>
      </c>
      <c r="E35" s="77">
        <v>99998</v>
      </c>
      <c r="F35" s="77">
        <v>10142183</v>
      </c>
      <c r="G35" s="76"/>
      <c r="H35" s="76"/>
      <c r="I35" s="77"/>
      <c r="J35" s="76">
        <v>7.2499999999999995E-2</v>
      </c>
      <c r="K35" s="77">
        <f t="shared" si="31"/>
        <v>7249.8549999999996</v>
      </c>
      <c r="L35" s="76">
        <v>8</v>
      </c>
      <c r="M35" s="78">
        <f t="shared" ref="M35" si="43">F35-F34</f>
        <v>263972</v>
      </c>
      <c r="N35" s="76">
        <v>50</v>
      </c>
      <c r="O35" s="76">
        <v>50</v>
      </c>
      <c r="P35" s="78">
        <f t="shared" ref="P35" si="44">M35*N35/C34</f>
        <v>131986</v>
      </c>
      <c r="Q35" s="78">
        <f t="shared" ref="Q35" si="45">M35*O35/C34</f>
        <v>131986</v>
      </c>
      <c r="R35" s="76"/>
      <c r="S35" s="14">
        <f t="shared" ref="S35" si="46">F35-E35*C35+K35</f>
        <v>149632.85500000001</v>
      </c>
    </row>
    <row r="36" spans="1:23" x14ac:dyDescent="0.25">
      <c r="A36" s="79" t="s">
        <v>960</v>
      </c>
      <c r="B36" s="79" t="s">
        <v>974</v>
      </c>
      <c r="C36" s="79">
        <v>200</v>
      </c>
      <c r="D36" s="79" t="s">
        <v>61</v>
      </c>
      <c r="E36" s="80">
        <v>97328</v>
      </c>
      <c r="F36" s="80">
        <v>19756422</v>
      </c>
      <c r="G36" s="79">
        <v>2</v>
      </c>
      <c r="H36" s="79">
        <v>21</v>
      </c>
      <c r="I36" s="80">
        <f>F36*G36*($AB$2-H36)/(36500)</f>
        <v>1082.5436712328767</v>
      </c>
      <c r="J36" s="79">
        <v>7.2499999999999995E-2</v>
      </c>
      <c r="K36" s="80">
        <f t="shared" si="31"/>
        <v>14112.56</v>
      </c>
      <c r="L36" s="79">
        <f t="shared" si="9"/>
        <v>97474.644635717079</v>
      </c>
      <c r="M36" s="81"/>
      <c r="N36" s="79"/>
      <c r="O36" s="79"/>
      <c r="P36" s="81"/>
      <c r="Q36" s="81"/>
      <c r="R36" s="79"/>
      <c r="S36" s="14">
        <f t="shared" ref="S36" si="47">C36*E36+K36-F36</f>
        <v>-276709.44000000134</v>
      </c>
    </row>
    <row r="37" spans="1:23" x14ac:dyDescent="0.25">
      <c r="A37" s="79" t="s">
        <v>1075</v>
      </c>
      <c r="B37" s="79" t="s">
        <v>974</v>
      </c>
      <c r="C37" s="79">
        <v>200</v>
      </c>
      <c r="D37" s="79" t="s">
        <v>976</v>
      </c>
      <c r="E37" s="80">
        <v>99000</v>
      </c>
      <c r="F37" s="80">
        <v>20084731</v>
      </c>
      <c r="G37" s="79"/>
      <c r="H37" s="79"/>
      <c r="I37" s="80"/>
      <c r="J37" s="79">
        <v>7.2499999999999995E-2</v>
      </c>
      <c r="K37" s="80">
        <f t="shared" si="31"/>
        <v>14355</v>
      </c>
      <c r="L37" s="79">
        <v>8</v>
      </c>
      <c r="M37" s="81">
        <f t="shared" ref="M37" si="48">F37-F36</f>
        <v>328309</v>
      </c>
      <c r="N37" s="79">
        <v>100</v>
      </c>
      <c r="O37" s="79">
        <v>100</v>
      </c>
      <c r="P37" s="81">
        <f t="shared" ref="P37" si="49">M37*N37/C36</f>
        <v>164154.5</v>
      </c>
      <c r="Q37" s="81">
        <f t="shared" ref="Q37" si="50">M37*O37/C36</f>
        <v>164154.5</v>
      </c>
      <c r="R37" s="79"/>
      <c r="S37" s="14">
        <f t="shared" ref="S37" si="51">F37-E37*C37+K37</f>
        <v>299086</v>
      </c>
    </row>
    <row r="38" spans="1:23" x14ac:dyDescent="0.25">
      <c r="A38" s="76" t="s">
        <v>25</v>
      </c>
      <c r="B38" s="76"/>
      <c r="C38" s="76">
        <v>1</v>
      </c>
      <c r="D38" s="76"/>
      <c r="E38" s="77"/>
      <c r="F38" s="77"/>
      <c r="G38" s="76"/>
      <c r="H38" s="76"/>
      <c r="I38" s="77">
        <f>F38*G38*($AB$2-H38)/(36500)</f>
        <v>0</v>
      </c>
      <c r="J38" s="76">
        <v>7.2499999999999995E-2</v>
      </c>
      <c r="K38" s="77">
        <f t="shared" si="31"/>
        <v>0</v>
      </c>
      <c r="L38" s="76">
        <f t="shared" ref="L38" si="52">(E38*(1+J38/100)+I38/C38)/(1-J39/100)</f>
        <v>0</v>
      </c>
      <c r="M38" s="78"/>
      <c r="N38" s="76"/>
      <c r="O38" s="76"/>
      <c r="P38" s="78"/>
      <c r="Q38" s="78"/>
      <c r="R38" s="76"/>
      <c r="S38" s="14">
        <f t="shared" ref="S38" si="53">C38*E38+K38-F38</f>
        <v>0</v>
      </c>
    </row>
    <row r="39" spans="1:23" x14ac:dyDescent="0.25">
      <c r="A39" s="76"/>
      <c r="B39" s="76"/>
      <c r="C39" s="76">
        <v>1</v>
      </c>
      <c r="D39" s="76"/>
      <c r="E39" s="77"/>
      <c r="F39" s="77"/>
      <c r="G39" s="76"/>
      <c r="H39" s="76"/>
      <c r="I39" s="77"/>
      <c r="J39" s="76">
        <v>7.2499999999999995E-2</v>
      </c>
      <c r="K39" s="77">
        <f t="shared" si="31"/>
        <v>0</v>
      </c>
      <c r="L39" s="76">
        <v>9</v>
      </c>
      <c r="M39" s="78">
        <f t="shared" ref="M39" si="54">F39-F38</f>
        <v>0</v>
      </c>
      <c r="N39" s="76">
        <v>50</v>
      </c>
      <c r="O39" s="76">
        <v>50</v>
      </c>
      <c r="P39" s="78">
        <f t="shared" ref="P39" si="55">M39*N39/C38</f>
        <v>0</v>
      </c>
      <c r="Q39" s="78">
        <f t="shared" ref="Q39" si="56">M39*O39/C38</f>
        <v>0</v>
      </c>
      <c r="R39" s="76"/>
      <c r="S39" s="14">
        <f t="shared" ref="S39" si="57">F39-E39*C39+K39</f>
        <v>0</v>
      </c>
    </row>
    <row r="40" spans="1:23" x14ac:dyDescent="0.25">
      <c r="A40" s="79"/>
      <c r="B40" s="79"/>
      <c r="C40" s="79">
        <v>1</v>
      </c>
      <c r="D40" s="79"/>
      <c r="E40" s="80"/>
      <c r="F40" s="80"/>
      <c r="G40" s="79"/>
      <c r="H40" s="79"/>
      <c r="I40" s="80">
        <f>F40*G40*($AB$2-H40)/(36500)</f>
        <v>0</v>
      </c>
      <c r="J40" s="79">
        <v>7.2499999999999995E-2</v>
      </c>
      <c r="K40" s="80">
        <f t="shared" si="31"/>
        <v>0</v>
      </c>
      <c r="L40" s="79">
        <f t="shared" si="9"/>
        <v>0</v>
      </c>
      <c r="M40" s="81"/>
      <c r="N40" s="79"/>
      <c r="O40" s="79"/>
      <c r="P40" s="81"/>
      <c r="Q40" s="81"/>
      <c r="R40" s="79"/>
      <c r="S40" s="14">
        <f t="shared" ref="S40" si="58">C40*E40+K40-F40</f>
        <v>0</v>
      </c>
    </row>
    <row r="41" spans="1:23" x14ac:dyDescent="0.25">
      <c r="A41" s="79"/>
      <c r="B41" s="79"/>
      <c r="C41" s="79">
        <v>1</v>
      </c>
      <c r="D41" s="79"/>
      <c r="E41" s="80"/>
      <c r="F41" s="80"/>
      <c r="G41" s="79"/>
      <c r="H41" s="79"/>
      <c r="I41" s="80"/>
      <c r="J41" s="79">
        <v>7.2499999999999995E-2</v>
      </c>
      <c r="K41" s="80">
        <f t="shared" si="31"/>
        <v>0</v>
      </c>
      <c r="L41" s="79">
        <v>9</v>
      </c>
      <c r="M41" s="81">
        <f t="shared" ref="M41" si="59">F41-F40</f>
        <v>0</v>
      </c>
      <c r="N41" s="79">
        <v>50</v>
      </c>
      <c r="O41" s="79">
        <v>50</v>
      </c>
      <c r="P41" s="81">
        <f t="shared" ref="P41" si="60">M41*N41/C40</f>
        <v>0</v>
      </c>
      <c r="Q41" s="81">
        <f t="shared" ref="Q41" si="61">M41*O41/C40</f>
        <v>0</v>
      </c>
      <c r="R41" s="79"/>
      <c r="S41" s="14">
        <f t="shared" ref="S41" si="62">F41-E41*C41+K41</f>
        <v>0</v>
      </c>
    </row>
    <row r="42" spans="1:23" x14ac:dyDescent="0.25">
      <c r="A42" s="76"/>
      <c r="B42" s="76"/>
      <c r="C42" s="76">
        <v>1</v>
      </c>
      <c r="D42" s="76"/>
      <c r="E42" s="77"/>
      <c r="F42" s="77"/>
      <c r="G42" s="76"/>
      <c r="H42" s="76"/>
      <c r="I42" s="77">
        <f>F42*G42*($AB$2-H42)/(36500)</f>
        <v>0</v>
      </c>
      <c r="J42" s="76">
        <v>7.2499999999999995E-2</v>
      </c>
      <c r="K42" s="77">
        <f t="shared" si="31"/>
        <v>0</v>
      </c>
      <c r="L42" s="76">
        <f t="shared" ref="L42" si="63">(E42*(1+J42/100)+I42/C42)/(1-J43/100)</f>
        <v>0</v>
      </c>
      <c r="M42" s="78"/>
      <c r="N42" s="76"/>
      <c r="O42" s="76"/>
      <c r="P42" s="78"/>
      <c r="Q42" s="78"/>
      <c r="R42" s="76"/>
      <c r="S42" s="14">
        <f t="shared" ref="S42" si="64">C42*E42+K42-F42</f>
        <v>0</v>
      </c>
    </row>
    <row r="43" spans="1:23" x14ac:dyDescent="0.25">
      <c r="A43" s="76"/>
      <c r="B43" s="76"/>
      <c r="C43" s="76">
        <v>1</v>
      </c>
      <c r="D43" s="76"/>
      <c r="E43" s="77"/>
      <c r="F43" s="77"/>
      <c r="G43" s="76"/>
      <c r="H43" s="76"/>
      <c r="I43" s="77"/>
      <c r="J43" s="76">
        <v>7.2499999999999995E-2</v>
      </c>
      <c r="K43" s="77">
        <f t="shared" si="31"/>
        <v>0</v>
      </c>
      <c r="L43" s="76">
        <v>10</v>
      </c>
      <c r="M43" s="78">
        <f t="shared" ref="M43" si="65">F43-F42</f>
        <v>0</v>
      </c>
      <c r="N43" s="76">
        <v>50</v>
      </c>
      <c r="O43" s="76">
        <v>50</v>
      </c>
      <c r="P43" s="78">
        <f t="shared" ref="P43" si="66">M43*N43/C42</f>
        <v>0</v>
      </c>
      <c r="Q43" s="78">
        <f t="shared" ref="Q43" si="67">M43*O43/C42</f>
        <v>0</v>
      </c>
      <c r="R43" s="76"/>
      <c r="S43" s="14">
        <f t="shared" ref="S43" si="68">F43-E43*C43+K43</f>
        <v>0</v>
      </c>
    </row>
    <row r="44" spans="1:23" x14ac:dyDescent="0.25">
      <c r="A44" s="79"/>
      <c r="B44" s="79"/>
      <c r="C44" s="79">
        <v>1</v>
      </c>
      <c r="D44" s="79"/>
      <c r="E44" s="79"/>
      <c r="F44" s="79"/>
      <c r="G44" s="79"/>
      <c r="H44" s="79"/>
      <c r="I44" s="79">
        <f>F44*G44*($AB$2-H44)/(36500)</f>
        <v>0</v>
      </c>
      <c r="J44" s="79">
        <v>7.2499999999999995E-2</v>
      </c>
      <c r="K44" s="79">
        <f t="shared" si="31"/>
        <v>0</v>
      </c>
      <c r="L44" s="79">
        <f t="shared" si="9"/>
        <v>0</v>
      </c>
      <c r="M44" s="79"/>
      <c r="N44" s="79"/>
      <c r="O44" s="79"/>
      <c r="P44" s="79"/>
      <c r="Q44" s="79"/>
      <c r="R44" s="79"/>
      <c r="S44" s="14">
        <f t="shared" ref="S44" si="69">C44*E44+K44-F44</f>
        <v>0</v>
      </c>
    </row>
    <row r="45" spans="1:23" x14ac:dyDescent="0.25">
      <c r="A45" s="79"/>
      <c r="B45" s="79"/>
      <c r="C45" s="79">
        <v>1</v>
      </c>
      <c r="D45" s="79"/>
      <c r="E45" s="79"/>
      <c r="F45" s="79"/>
      <c r="G45" s="79"/>
      <c r="H45" s="79"/>
      <c r="I45" s="79"/>
      <c r="J45" s="79">
        <v>7.2499999999999995E-2</v>
      </c>
      <c r="K45" s="79">
        <f t="shared" si="31"/>
        <v>0</v>
      </c>
      <c r="L45" s="79">
        <v>10</v>
      </c>
      <c r="M45" s="79">
        <f t="shared" ref="M45" si="70">F45-F44</f>
        <v>0</v>
      </c>
      <c r="N45" s="79">
        <v>50</v>
      </c>
      <c r="O45" s="79">
        <v>50</v>
      </c>
      <c r="P45" s="79">
        <f t="shared" ref="P45" si="71">M45*N45/C44</f>
        <v>0</v>
      </c>
      <c r="Q45" s="79">
        <f t="shared" ref="Q45" si="72">M45*O45/C44</f>
        <v>0</v>
      </c>
      <c r="R45" s="79"/>
      <c r="S45" s="14">
        <f t="shared" ref="S45" si="73">F45-E45*C45+K45</f>
        <v>0</v>
      </c>
    </row>
    <row r="46" spans="1:23" x14ac:dyDescent="0.25">
      <c r="A46" s="16" t="s">
        <v>960</v>
      </c>
      <c r="B46" s="16" t="s">
        <v>987</v>
      </c>
      <c r="C46" s="16">
        <v>100</v>
      </c>
      <c r="D46" s="16" t="s">
        <v>61</v>
      </c>
      <c r="E46" s="14">
        <v>97875</v>
      </c>
      <c r="F46" s="14">
        <v>10210616</v>
      </c>
      <c r="G46" s="16">
        <v>2</v>
      </c>
      <c r="H46" s="16">
        <v>21</v>
      </c>
      <c r="I46" s="14">
        <f>F46*G46*($AB$2-H46)/(36500)</f>
        <v>559.48580821917813</v>
      </c>
      <c r="J46" s="16">
        <v>7.2499999999999995E-2</v>
      </c>
      <c r="K46" s="14">
        <f>C46*E46*J46/100</f>
        <v>7095.9375</v>
      </c>
      <c r="L46" s="16">
        <f>(E46*(1+J46/100)+I46/C46)/(1-J47/100)</f>
        <v>98022.620633041151</v>
      </c>
      <c r="M46" s="16"/>
      <c r="N46" s="16"/>
      <c r="O46" s="16"/>
      <c r="P46" s="16"/>
      <c r="Q46" s="16"/>
      <c r="R46" s="14">
        <v>98000</v>
      </c>
      <c r="S46" s="14">
        <f t="shared" ref="S46" si="74">C46*E46+K46-F46</f>
        <v>-416020.0625</v>
      </c>
    </row>
    <row r="47" spans="1:23" x14ac:dyDescent="0.25">
      <c r="A47" s="16"/>
      <c r="B47" s="16"/>
      <c r="C47" s="16"/>
      <c r="D47" s="16"/>
      <c r="E47" s="14"/>
      <c r="F47" s="14"/>
      <c r="G47" s="16"/>
      <c r="H47" s="16"/>
      <c r="I47" s="14">
        <f>F47*G47*($AB$2-H47)/(36500)</f>
        <v>0</v>
      </c>
      <c r="J47" s="16">
        <v>7.2499999999999995E-2</v>
      </c>
      <c r="K47" s="16"/>
      <c r="L47" s="16">
        <v>0</v>
      </c>
      <c r="M47" s="16"/>
      <c r="N47" s="16">
        <v>50</v>
      </c>
      <c r="O47" s="16">
        <f>C46-N47</f>
        <v>50</v>
      </c>
      <c r="P47" s="16">
        <f>M47*N47/C46</f>
        <v>0</v>
      </c>
      <c r="Q47" s="16">
        <f>M47*O47/C46</f>
        <v>0</v>
      </c>
      <c r="R47" s="16"/>
      <c r="S47" s="14">
        <f t="shared" ref="S47" si="75">F47-E47*C47+K47</f>
        <v>0</v>
      </c>
    </row>
    <row r="48" spans="1:23" x14ac:dyDescent="0.25">
      <c r="A48" s="83" t="s">
        <v>1075</v>
      </c>
      <c r="B48" s="83" t="s">
        <v>991</v>
      </c>
      <c r="C48" s="83">
        <v>1900</v>
      </c>
      <c r="D48" s="83" t="s">
        <v>61</v>
      </c>
      <c r="E48" s="84">
        <v>85536</v>
      </c>
      <c r="F48" s="84">
        <v>170893386</v>
      </c>
      <c r="G48" s="83">
        <v>0</v>
      </c>
      <c r="H48" s="83">
        <v>15</v>
      </c>
      <c r="I48" s="84">
        <f>F48*G48*($AB$2-H48)/(36500)</f>
        <v>0</v>
      </c>
      <c r="J48" s="83">
        <v>7.2499999999999995E-2</v>
      </c>
      <c r="K48" s="84">
        <f>C48*E48*J48/100</f>
        <v>117825.84</v>
      </c>
      <c r="L48" s="84">
        <f>(E48*(1+J48/100)+I48/C48)/(1-J49/100)</f>
        <v>85660.117184959105</v>
      </c>
      <c r="M48" s="83"/>
      <c r="N48" s="83"/>
      <c r="O48" s="83"/>
      <c r="P48" s="83"/>
      <c r="Q48" s="83"/>
      <c r="R48" s="84">
        <v>85600</v>
      </c>
      <c r="S48" s="14">
        <f t="shared" ref="S48" si="76">C48*E48+K48-F48</f>
        <v>-8257160.1599999964</v>
      </c>
      <c r="W48" t="s">
        <v>25</v>
      </c>
    </row>
    <row r="49" spans="1:19" x14ac:dyDescent="0.25">
      <c r="A49" s="83"/>
      <c r="B49" s="83"/>
      <c r="C49" s="83"/>
      <c r="D49" s="83"/>
      <c r="E49" s="83"/>
      <c r="F49" s="83"/>
      <c r="G49" s="83"/>
      <c r="H49" s="83"/>
      <c r="I49" s="84"/>
      <c r="J49" s="83">
        <v>7.2499999999999995E-2</v>
      </c>
      <c r="K49" s="83"/>
      <c r="L49" s="83"/>
      <c r="M49" s="83"/>
      <c r="N49" s="83">
        <v>950</v>
      </c>
      <c r="O49" s="83">
        <v>950</v>
      </c>
      <c r="P49" s="83"/>
      <c r="Q49" s="83"/>
      <c r="R49" s="83"/>
      <c r="S49" s="14">
        <f t="shared" ref="S49" si="77">F49-E49*C49+K49</f>
        <v>0</v>
      </c>
    </row>
    <row r="50" spans="1:19" x14ac:dyDescent="0.25">
      <c r="A50" s="16" t="s">
        <v>1075</v>
      </c>
      <c r="B50" s="16" t="s">
        <v>965</v>
      </c>
      <c r="C50" s="16">
        <v>8</v>
      </c>
      <c r="D50" s="14" t="s">
        <v>61</v>
      </c>
      <c r="E50" s="14">
        <v>82200</v>
      </c>
      <c r="F50" s="14">
        <v>658076</v>
      </c>
      <c r="G50" s="16">
        <v>0</v>
      </c>
      <c r="H50" s="14">
        <v>0</v>
      </c>
      <c r="I50" s="16">
        <f>F50*G50*($AB$2-H50)/(36500)</f>
        <v>0</v>
      </c>
      <c r="J50" s="16">
        <v>7.2499999999999995E-2</v>
      </c>
      <c r="K50" s="16">
        <f>C50*E50*J50/100</f>
        <v>476.76</v>
      </c>
      <c r="L50" s="16">
        <f>(E50*(1+J50/100)+I50/C50)/(1-J51/100)</f>
        <v>82319.276475444698</v>
      </c>
      <c r="M50" s="16"/>
      <c r="N50" s="16"/>
      <c r="O50" s="16"/>
      <c r="P50" s="16"/>
      <c r="Q50" s="16"/>
      <c r="R50" s="14">
        <v>82200</v>
      </c>
      <c r="S50" s="14">
        <v>0</v>
      </c>
    </row>
    <row r="51" spans="1:19" x14ac:dyDescent="0.25">
      <c r="A51" s="16"/>
      <c r="B51" s="16"/>
      <c r="C51" s="16"/>
      <c r="D51" s="16"/>
      <c r="E51" s="14"/>
      <c r="F51" s="16"/>
      <c r="G51" s="16"/>
      <c r="H51" s="14"/>
      <c r="I51" s="16">
        <f>F51*G51*($AB$2-H51)/(36500)</f>
        <v>0</v>
      </c>
      <c r="J51" s="16">
        <v>7.2499999999999995E-2</v>
      </c>
      <c r="K51" s="16"/>
      <c r="L51" s="14">
        <v>0</v>
      </c>
      <c r="M51" s="16"/>
      <c r="N51" s="16">
        <v>4</v>
      </c>
      <c r="O51" s="14">
        <f>C50-N51</f>
        <v>4</v>
      </c>
      <c r="P51" s="14">
        <f>M51*N51/C50</f>
        <v>0</v>
      </c>
      <c r="Q51" s="16">
        <f>M51*O51/C50</f>
        <v>0</v>
      </c>
      <c r="R51" s="14">
        <f t="shared" ref="R51" si="78">E51-D51*B51+J51</f>
        <v>7.2499999999999995E-2</v>
      </c>
      <c r="S51" s="14">
        <v>0</v>
      </c>
    </row>
    <row r="52" spans="1:19" x14ac:dyDescent="0.25">
      <c r="A52" s="83"/>
      <c r="B52" s="83"/>
      <c r="C52" s="83"/>
      <c r="D52" s="83"/>
      <c r="E52" s="83"/>
      <c r="F52" s="83"/>
      <c r="G52" s="83"/>
      <c r="H52" s="83"/>
      <c r="I52" s="84"/>
      <c r="J52" s="83"/>
      <c r="K52" s="83"/>
      <c r="L52" s="83"/>
      <c r="M52" s="83"/>
      <c r="N52" s="83"/>
      <c r="O52" s="83"/>
      <c r="P52" s="83"/>
      <c r="Q52" s="83"/>
      <c r="R52" s="83"/>
      <c r="S52" s="14">
        <f t="shared" ref="S52" si="79">C52*E52+K52-F52</f>
        <v>0</v>
      </c>
    </row>
    <row r="53" spans="1:19" x14ac:dyDescent="0.25">
      <c r="A53" s="83"/>
      <c r="B53" s="83"/>
      <c r="C53" s="83"/>
      <c r="D53" s="83"/>
      <c r="E53" s="83"/>
      <c r="F53" s="83"/>
      <c r="G53" s="83"/>
      <c r="H53" s="83"/>
      <c r="I53" s="84"/>
      <c r="J53" s="83"/>
      <c r="K53" s="83"/>
      <c r="L53" s="83"/>
      <c r="M53" s="83"/>
      <c r="N53" s="83"/>
      <c r="O53" s="83"/>
      <c r="P53" s="83"/>
      <c r="Q53" s="83"/>
      <c r="R53" s="83"/>
      <c r="S53" s="14">
        <f t="shared" ref="S53" si="80">F53-E53*C53+K53</f>
        <v>0</v>
      </c>
    </row>
    <row r="54" spans="1:19" x14ac:dyDescent="0.25">
      <c r="A54" s="16"/>
      <c r="B54" s="16"/>
      <c r="C54" s="16"/>
      <c r="D54" s="16"/>
      <c r="E54" s="16"/>
      <c r="F54" s="16"/>
      <c r="G54" s="16"/>
      <c r="H54" s="16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4">
        <f t="shared" ref="S54" si="81">C54*E54+K54-F54</f>
        <v>0</v>
      </c>
    </row>
    <row r="55" spans="1:19" x14ac:dyDescent="0.25">
      <c r="A55" s="16"/>
      <c r="B55" s="16"/>
      <c r="C55" s="16"/>
      <c r="D55" s="16"/>
      <c r="E55" s="16"/>
      <c r="F55" s="16"/>
      <c r="G55" s="16"/>
      <c r="H55" s="16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4">
        <f t="shared" ref="S55" si="82">F55-E55*C55+K55</f>
        <v>0</v>
      </c>
    </row>
    <row r="56" spans="1:19" x14ac:dyDescent="0.25">
      <c r="A56" s="83"/>
      <c r="B56" s="83"/>
      <c r="C56" s="83"/>
      <c r="D56" s="83"/>
      <c r="E56" s="83"/>
      <c r="F56" s="83"/>
      <c r="G56" s="83"/>
      <c r="H56" s="83"/>
      <c r="I56" s="84"/>
      <c r="J56" s="83"/>
      <c r="K56" s="83"/>
      <c r="L56" s="83"/>
      <c r="M56" s="83"/>
      <c r="N56" s="83"/>
      <c r="O56" s="83"/>
      <c r="P56" s="83"/>
      <c r="Q56" s="83"/>
      <c r="R56" s="83"/>
      <c r="S56" s="14">
        <f t="shared" ref="S56" si="83">C56*E56+K56-F56</f>
        <v>0</v>
      </c>
    </row>
    <row r="57" spans="1:19" x14ac:dyDescent="0.25">
      <c r="A57" s="83"/>
      <c r="B57" s="83"/>
      <c r="C57" s="83"/>
      <c r="D57" s="83"/>
      <c r="E57" s="83"/>
      <c r="F57" s="83"/>
      <c r="G57" s="83"/>
      <c r="H57" s="83"/>
      <c r="I57" s="84"/>
      <c r="J57" s="83"/>
      <c r="K57" s="83"/>
      <c r="L57" s="83"/>
      <c r="M57" s="83"/>
      <c r="N57" s="83"/>
      <c r="O57" s="83"/>
      <c r="P57" s="83"/>
      <c r="Q57" s="83"/>
      <c r="R57" s="83"/>
      <c r="S57" s="14">
        <f t="shared" ref="S57" si="84">F57-E57*C57+K57</f>
        <v>0</v>
      </c>
    </row>
    <row r="58" spans="1:19" x14ac:dyDescent="0.25">
      <c r="A58" s="83"/>
      <c r="B58" s="83"/>
      <c r="C58" s="83"/>
      <c r="D58" s="83"/>
      <c r="E58" s="83"/>
      <c r="F58" s="83"/>
      <c r="G58" s="83"/>
      <c r="H58" s="83"/>
      <c r="I58" s="84" t="s">
        <v>25</v>
      </c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85">C58*E58+K58-F58</f>
        <v>0</v>
      </c>
    </row>
    <row r="59" spans="1:19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86">F59-E59*C59+K59</f>
        <v>0</v>
      </c>
    </row>
    <row r="60" spans="1:19" x14ac:dyDescent="0.25">
      <c r="A60" s="83"/>
      <c r="B60" s="83"/>
      <c r="C60" s="83"/>
      <c r="D60" s="83"/>
      <c r="E60" s="83"/>
      <c r="F60" s="83"/>
      <c r="G60" s="83"/>
      <c r="H60" s="83"/>
      <c r="I60" s="84"/>
      <c r="J60" s="83"/>
      <c r="K60" s="83"/>
      <c r="L60" s="83"/>
      <c r="M60" s="83"/>
      <c r="N60" s="83"/>
      <c r="O60" s="83"/>
      <c r="P60" s="83"/>
      <c r="Q60" s="83"/>
      <c r="R60" s="83"/>
      <c r="S60" s="14">
        <f t="shared" ref="S60" si="87">C60*E60+K60-F60</f>
        <v>0</v>
      </c>
    </row>
    <row r="61" spans="1:19" x14ac:dyDescent="0.25">
      <c r="A61" s="83"/>
      <c r="B61" s="83"/>
      <c r="C61" s="83"/>
      <c r="D61" s="83"/>
      <c r="E61" s="83"/>
      <c r="F61" s="83"/>
      <c r="G61" s="83"/>
      <c r="H61" s="83"/>
      <c r="I61" s="84"/>
      <c r="J61" s="83"/>
      <c r="K61" s="83"/>
      <c r="L61" s="83"/>
      <c r="M61" s="83"/>
      <c r="N61" s="83"/>
      <c r="O61" s="83"/>
      <c r="P61" s="83"/>
      <c r="Q61" s="83"/>
      <c r="R61" s="83"/>
      <c r="S61" s="14">
        <f t="shared" ref="S61" si="88">F61-E61*C61+K61</f>
        <v>0</v>
      </c>
    </row>
    <row r="62" spans="1:19" x14ac:dyDescent="0.25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2"/>
      <c r="O62" s="82"/>
      <c r="P62" s="11"/>
      <c r="Q62" s="11"/>
      <c r="R62" s="11"/>
    </row>
    <row r="63" spans="1:19" x14ac:dyDescent="0.25">
      <c r="A63" s="2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>
        <f>SUM(M2:M61)</f>
        <v>4944891</v>
      </c>
      <c r="N63" s="11"/>
      <c r="O63" s="11"/>
      <c r="P63" s="3">
        <f>SUM(P2:P62)</f>
        <v>3173087.5</v>
      </c>
      <c r="Q63" s="3">
        <f>SUM(Q3:Q62)</f>
        <v>1771803.5</v>
      </c>
      <c r="R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 t="s">
        <v>191</v>
      </c>
      <c r="N64" s="11"/>
      <c r="O64" s="11"/>
      <c r="P64" s="11" t="s">
        <v>1062</v>
      </c>
      <c r="Q64" s="11" t="s">
        <v>1063</v>
      </c>
      <c r="R64" s="11"/>
      <c r="S64" t="s">
        <v>25</v>
      </c>
    </row>
    <row r="65" spans="1:9" x14ac:dyDescent="0.25">
      <c r="A65" s="25"/>
    </row>
    <row r="66" spans="1:9" x14ac:dyDescent="0.25">
      <c r="A66" s="25"/>
    </row>
    <row r="67" spans="1:9" x14ac:dyDescent="0.25">
      <c r="F67" s="7"/>
    </row>
    <row r="69" spans="1:9" x14ac:dyDescent="0.25">
      <c r="E69" s="11" t="s">
        <v>984</v>
      </c>
      <c r="F69" s="11" t="s">
        <v>182</v>
      </c>
    </row>
    <row r="70" spans="1:9" x14ac:dyDescent="0.25">
      <c r="E70" s="11" t="s">
        <v>985</v>
      </c>
      <c r="F70" s="3">
        <v>1782805</v>
      </c>
    </row>
    <row r="71" spans="1:9" x14ac:dyDescent="0.25">
      <c r="E71" s="11" t="s">
        <v>987</v>
      </c>
      <c r="F71" s="3">
        <f>C46*R46*(1-J47/100)</f>
        <v>9792895</v>
      </c>
    </row>
    <row r="72" spans="1:9" x14ac:dyDescent="0.25">
      <c r="E72" s="11" t="s">
        <v>991</v>
      </c>
      <c r="F72" s="3">
        <f>C48*R48*(1-J49/100)</f>
        <v>162522086</v>
      </c>
    </row>
    <row r="73" spans="1:9" x14ac:dyDescent="0.25">
      <c r="E73" s="11" t="s">
        <v>965</v>
      </c>
      <c r="F73" s="3">
        <f>C50*R50*(1-J51/100)</f>
        <v>657123.24</v>
      </c>
    </row>
    <row r="74" spans="1:9" x14ac:dyDescent="0.25">
      <c r="E74" s="11" t="s">
        <v>1051</v>
      </c>
      <c r="F74" s="3">
        <f>-S46</f>
        <v>416020.0625</v>
      </c>
    </row>
    <row r="75" spans="1:9" x14ac:dyDescent="0.25">
      <c r="E75" s="11" t="s">
        <v>1080</v>
      </c>
      <c r="F75" s="3">
        <f>-S48</f>
        <v>8257160.1599999964</v>
      </c>
    </row>
    <row r="76" spans="1:9" x14ac:dyDescent="0.25">
      <c r="E76" s="11"/>
      <c r="F76" s="11"/>
    </row>
    <row r="77" spans="1:9" x14ac:dyDescent="0.25">
      <c r="E77" s="11"/>
      <c r="F77" s="11"/>
    </row>
    <row r="78" spans="1:9" x14ac:dyDescent="0.25">
      <c r="D78" t="s">
        <v>25</v>
      </c>
      <c r="E78" s="11"/>
      <c r="F78" s="11"/>
    </row>
    <row r="79" spans="1:9" x14ac:dyDescent="0.25">
      <c r="E79" s="11" t="s">
        <v>6</v>
      </c>
      <c r="F79" s="29">
        <f>SUM(F70:F78)</f>
        <v>183428089.46250001</v>
      </c>
      <c r="G79" s="25"/>
    </row>
    <row r="80" spans="1:9" x14ac:dyDescent="0.25">
      <c r="E80" s="11"/>
      <c r="F80" s="11"/>
      <c r="I80" s="25"/>
    </row>
    <row r="81" spans="5:14" x14ac:dyDescent="0.25">
      <c r="E81" s="11" t="s">
        <v>980</v>
      </c>
      <c r="F81" s="29">
        <f>F79-AG12</f>
        <v>4323777.1337328553</v>
      </c>
      <c r="I81" s="25"/>
    </row>
    <row r="82" spans="5:14" x14ac:dyDescent="0.25">
      <c r="I82" s="28"/>
    </row>
    <row r="85" spans="5:14" x14ac:dyDescent="0.25">
      <c r="N85" s="25"/>
    </row>
    <row r="86" spans="5:14" x14ac:dyDescent="0.25">
      <c r="N86" s="25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Normal="100" workbookViewId="0">
      <selection activeCell="N2" sqref="N2"/>
    </sheetView>
  </sheetViews>
  <sheetFormatPr defaultRowHeight="15" x14ac:dyDescent="0.25"/>
  <cols>
    <col min="5" max="5" width="10.85546875" bestFit="1" customWidth="1"/>
    <col min="6" max="7" width="17.5703125" bestFit="1" customWidth="1"/>
    <col min="8" max="9" width="12.42578125" bestFit="1" customWidth="1"/>
    <col min="10" max="10" width="11" bestFit="1" customWidth="1"/>
    <col min="14" max="17" width="12.42578125" bestFit="1" customWidth="1"/>
    <col min="19" max="19" width="14.5703125" bestFit="1" customWidth="1"/>
    <col min="20" max="21" width="12.42578125" bestFit="1" customWidth="1"/>
  </cols>
  <sheetData>
    <row r="1" spans="1:25" x14ac:dyDescent="0.25">
      <c r="A1" s="11" t="s">
        <v>986</v>
      </c>
      <c r="B1" s="11" t="s">
        <v>1002</v>
      </c>
      <c r="C1" s="11" t="s">
        <v>1003</v>
      </c>
      <c r="D1" s="11" t="s">
        <v>999</v>
      </c>
      <c r="E1" s="11" t="s">
        <v>1041</v>
      </c>
      <c r="F1" s="11" t="s">
        <v>1016</v>
      </c>
      <c r="G1" s="11" t="s">
        <v>968</v>
      </c>
      <c r="H1" s="11" t="s">
        <v>1004</v>
      </c>
      <c r="I1" s="69" t="s">
        <v>1035</v>
      </c>
      <c r="L1">
        <v>96</v>
      </c>
      <c r="M1">
        <v>12</v>
      </c>
      <c r="N1" s="3">
        <v>85700</v>
      </c>
      <c r="O1" s="3">
        <f>N1</f>
        <v>85700</v>
      </c>
      <c r="P1" s="3">
        <v>0</v>
      </c>
      <c r="R1" t="s">
        <v>982</v>
      </c>
      <c r="S1" t="s">
        <v>1047</v>
      </c>
      <c r="T1" t="s">
        <v>1048</v>
      </c>
      <c r="X1">
        <v>0.4</v>
      </c>
      <c r="Y1" t="s">
        <v>1081</v>
      </c>
    </row>
    <row r="2" spans="1:25" x14ac:dyDescent="0.25">
      <c r="A2" s="16" t="s">
        <v>1045</v>
      </c>
      <c r="B2" s="16">
        <v>17</v>
      </c>
      <c r="C2" s="16">
        <v>6</v>
      </c>
      <c r="D2" s="16" t="s">
        <v>1046</v>
      </c>
      <c r="E2" s="16">
        <f>46-$D$32</f>
        <v>46</v>
      </c>
      <c r="F2" s="14">
        <v>100000</v>
      </c>
      <c r="G2" s="14">
        <v>96000</v>
      </c>
      <c r="H2" s="14">
        <v>86000</v>
      </c>
      <c r="I2" s="16"/>
      <c r="L2">
        <v>97</v>
      </c>
      <c r="M2">
        <v>1</v>
      </c>
      <c r="N2">
        <f t="shared" ref="N2:N3" si="0">$U$2</f>
        <v>1194.1666666666667</v>
      </c>
      <c r="O2" s="3">
        <f>O1*(1+$R$2/1200)</f>
        <v>87242.6</v>
      </c>
      <c r="P2" s="3">
        <f>N2+P1*(1+$R$2/1200)</f>
        <v>1194.1666666666667</v>
      </c>
      <c r="R2">
        <v>21.6</v>
      </c>
      <c r="S2">
        <v>14.33</v>
      </c>
      <c r="T2" s="3">
        <v>100000</v>
      </c>
      <c r="U2">
        <f>T2*S2/(100*12)</f>
        <v>1194.1666666666667</v>
      </c>
      <c r="X2">
        <v>0.67</v>
      </c>
      <c r="Y2" t="s">
        <v>1082</v>
      </c>
    </row>
    <row r="3" spans="1:25" x14ac:dyDescent="0.25">
      <c r="A3" s="11" t="s">
        <v>987</v>
      </c>
      <c r="B3" s="11">
        <v>21</v>
      </c>
      <c r="C3" s="11">
        <v>3</v>
      </c>
      <c r="D3" s="11" t="s">
        <v>1009</v>
      </c>
      <c r="E3" s="11">
        <f>19-$D$32</f>
        <v>19</v>
      </c>
      <c r="F3" s="3">
        <v>100000</v>
      </c>
      <c r="G3" s="3">
        <v>98000</v>
      </c>
      <c r="H3" s="3">
        <v>98100</v>
      </c>
      <c r="I3" s="11"/>
      <c r="L3">
        <v>97</v>
      </c>
      <c r="M3">
        <v>2</v>
      </c>
      <c r="N3">
        <f t="shared" si="0"/>
        <v>1194.1666666666667</v>
      </c>
      <c r="O3" s="3">
        <f t="shared" ref="O3:O20" si="1">O2*(1+$R$2/1200)</f>
        <v>88812.966800000009</v>
      </c>
      <c r="P3" s="3">
        <f t="shared" ref="P3:P49" si="2">N3+P2*(1+$R$2/1200)</f>
        <v>2409.8283333333338</v>
      </c>
    </row>
    <row r="4" spans="1:25" x14ac:dyDescent="0.25">
      <c r="A4" s="16" t="s">
        <v>988</v>
      </c>
      <c r="B4" s="16">
        <v>16</v>
      </c>
      <c r="C4" s="16">
        <v>3</v>
      </c>
      <c r="D4" s="16" t="s">
        <v>1010</v>
      </c>
      <c r="E4" s="16">
        <f>19-$D$32</f>
        <v>19</v>
      </c>
      <c r="F4" s="14">
        <v>100000</v>
      </c>
      <c r="G4" s="14">
        <v>91000</v>
      </c>
      <c r="H4" s="14">
        <v>91500</v>
      </c>
      <c r="I4" s="16"/>
      <c r="L4">
        <v>97</v>
      </c>
      <c r="M4">
        <v>3</v>
      </c>
      <c r="N4">
        <f>$U$2</f>
        <v>1194.1666666666667</v>
      </c>
      <c r="O4" s="3">
        <f t="shared" si="1"/>
        <v>90411.600202400004</v>
      </c>
      <c r="P4" s="3">
        <f t="shared" si="2"/>
        <v>3647.3719100000008</v>
      </c>
    </row>
    <row r="5" spans="1:25" x14ac:dyDescent="0.25">
      <c r="A5" s="20" t="s">
        <v>981</v>
      </c>
      <c r="B5" s="11">
        <v>21</v>
      </c>
      <c r="C5" s="11">
        <v>3</v>
      </c>
      <c r="D5" s="11" t="s">
        <v>1011</v>
      </c>
      <c r="E5" s="11">
        <f>21-$D$32</f>
        <v>21</v>
      </c>
      <c r="F5" s="3">
        <v>100000</v>
      </c>
      <c r="G5" s="3">
        <v>97200</v>
      </c>
      <c r="H5" s="3">
        <v>98100</v>
      </c>
      <c r="I5" s="11"/>
      <c r="L5">
        <v>97</v>
      </c>
      <c r="M5">
        <v>4</v>
      </c>
      <c r="N5">
        <f t="shared" ref="N5:N49" si="3">$U$2</f>
        <v>1194.1666666666667</v>
      </c>
      <c r="O5" s="3">
        <f t="shared" si="1"/>
        <v>92039.009006043212</v>
      </c>
      <c r="P5" s="3">
        <f t="shared" si="2"/>
        <v>4907.1912710466677</v>
      </c>
    </row>
    <row r="6" spans="1:25" x14ac:dyDescent="0.25">
      <c r="A6" s="16" t="s">
        <v>974</v>
      </c>
      <c r="B6" s="16">
        <v>21</v>
      </c>
      <c r="C6" s="16">
        <v>3</v>
      </c>
      <c r="D6" s="16" t="s">
        <v>1012</v>
      </c>
      <c r="E6" s="16">
        <f>24-$D$32</f>
        <v>24</v>
      </c>
      <c r="F6" s="14">
        <v>100000</v>
      </c>
      <c r="G6" s="14">
        <v>99500</v>
      </c>
      <c r="H6" s="14">
        <v>98100</v>
      </c>
      <c r="I6" s="16"/>
      <c r="L6">
        <v>97</v>
      </c>
      <c r="M6">
        <v>5</v>
      </c>
      <c r="N6">
        <f t="shared" si="3"/>
        <v>1194.1666666666667</v>
      </c>
      <c r="O6" s="3">
        <f t="shared" si="1"/>
        <v>93695.711168151989</v>
      </c>
      <c r="P6" s="3">
        <f t="shared" si="2"/>
        <v>6189.687380592175</v>
      </c>
    </row>
    <row r="7" spans="1:25" x14ac:dyDescent="0.25">
      <c r="A7" s="11" t="s">
        <v>989</v>
      </c>
      <c r="B7" s="11">
        <v>18</v>
      </c>
      <c r="C7" s="11">
        <v>3</v>
      </c>
      <c r="D7" s="11" t="s">
        <v>1044</v>
      </c>
      <c r="E7" s="11">
        <f>24-$D$32</f>
        <v>24</v>
      </c>
      <c r="F7" s="3">
        <v>100000</v>
      </c>
      <c r="G7" s="3">
        <v>93000</v>
      </c>
      <c r="H7" s="3">
        <v>93000</v>
      </c>
      <c r="I7" s="11"/>
      <c r="L7">
        <v>97</v>
      </c>
      <c r="M7">
        <v>6</v>
      </c>
      <c r="N7">
        <f t="shared" si="3"/>
        <v>1194.1666666666667</v>
      </c>
      <c r="O7" s="3">
        <f t="shared" si="1"/>
        <v>95382.23396917872</v>
      </c>
      <c r="P7" s="3">
        <f t="shared" si="2"/>
        <v>7495.2684201095017</v>
      </c>
    </row>
    <row r="8" spans="1:25" x14ac:dyDescent="0.25">
      <c r="A8" s="16" t="s">
        <v>990</v>
      </c>
      <c r="B8" s="16">
        <v>16</v>
      </c>
      <c r="C8" s="16">
        <v>3</v>
      </c>
      <c r="D8" s="16" t="s">
        <v>1013</v>
      </c>
      <c r="E8" s="16">
        <f>22-$D$32</f>
        <v>22</v>
      </c>
      <c r="F8" s="14">
        <v>100000</v>
      </c>
      <c r="G8" s="14">
        <v>90000</v>
      </c>
      <c r="H8" s="14">
        <v>90000</v>
      </c>
      <c r="I8" s="16"/>
      <c r="L8">
        <v>97</v>
      </c>
      <c r="M8">
        <v>7</v>
      </c>
      <c r="N8">
        <f t="shared" si="3"/>
        <v>1194.1666666666667</v>
      </c>
      <c r="O8" s="3">
        <f t="shared" si="1"/>
        <v>97099.114180623932</v>
      </c>
      <c r="P8" s="3">
        <f t="shared" si="2"/>
        <v>8824.3499183381391</v>
      </c>
    </row>
    <row r="9" spans="1:25" x14ac:dyDescent="0.25">
      <c r="A9" s="11" t="s">
        <v>991</v>
      </c>
      <c r="B9" s="11">
        <v>15</v>
      </c>
      <c r="C9" s="11">
        <v>6</v>
      </c>
      <c r="D9" s="11" t="s">
        <v>1014</v>
      </c>
      <c r="E9" s="11">
        <f>33-$D$32</f>
        <v>33</v>
      </c>
      <c r="F9" s="3">
        <v>100000</v>
      </c>
      <c r="G9" s="3">
        <v>82000</v>
      </c>
      <c r="H9" s="3">
        <v>85000</v>
      </c>
      <c r="I9" s="11"/>
      <c r="L9">
        <v>97</v>
      </c>
      <c r="M9">
        <v>8</v>
      </c>
      <c r="N9">
        <f t="shared" si="3"/>
        <v>1194.1666666666667</v>
      </c>
      <c r="O9" s="3">
        <f t="shared" si="1"/>
        <v>98846.898235875167</v>
      </c>
      <c r="P9" s="3">
        <f t="shared" si="2"/>
        <v>10177.354883534892</v>
      </c>
    </row>
    <row r="10" spans="1:25" x14ac:dyDescent="0.25">
      <c r="A10" s="16" t="s">
        <v>965</v>
      </c>
      <c r="B10" s="16">
        <v>0</v>
      </c>
      <c r="C10" s="16">
        <v>0</v>
      </c>
      <c r="D10" s="16" t="s">
        <v>1015</v>
      </c>
      <c r="E10" s="16">
        <f>12-$D$32</f>
        <v>12</v>
      </c>
      <c r="F10" s="14">
        <v>100000</v>
      </c>
      <c r="G10" s="14">
        <v>80200</v>
      </c>
      <c r="H10" s="14">
        <v>80400</v>
      </c>
      <c r="I10" s="16"/>
      <c r="L10">
        <v>97</v>
      </c>
      <c r="M10">
        <v>9</v>
      </c>
      <c r="N10">
        <f t="shared" si="3"/>
        <v>1194.1666666666667</v>
      </c>
      <c r="O10" s="3">
        <f t="shared" si="1"/>
        <v>100626.14240412092</v>
      </c>
      <c r="P10" s="3">
        <f t="shared" si="2"/>
        <v>11554.713938105186</v>
      </c>
    </row>
    <row r="11" spans="1:25" x14ac:dyDescent="0.25">
      <c r="A11" s="11" t="s">
        <v>992</v>
      </c>
      <c r="B11" s="11">
        <v>0</v>
      </c>
      <c r="C11" s="11">
        <v>0</v>
      </c>
      <c r="D11" s="11" t="s">
        <v>1025</v>
      </c>
      <c r="E11" s="11">
        <f>5-$D$32</f>
        <v>5</v>
      </c>
      <c r="F11" s="3">
        <v>100000</v>
      </c>
      <c r="G11" s="3">
        <v>92020</v>
      </c>
      <c r="H11" s="3">
        <v>91500</v>
      </c>
      <c r="I11" s="11"/>
      <c r="L11">
        <v>97</v>
      </c>
      <c r="M11">
        <v>10</v>
      </c>
      <c r="N11">
        <f t="shared" si="3"/>
        <v>1194.1666666666667</v>
      </c>
      <c r="O11" s="3">
        <f t="shared" si="1"/>
        <v>102437.41296739511</v>
      </c>
      <c r="P11" s="3">
        <f t="shared" si="2"/>
        <v>12956.865455657746</v>
      </c>
    </row>
    <row r="12" spans="1:25" x14ac:dyDescent="0.25">
      <c r="A12" s="16" t="s">
        <v>993</v>
      </c>
      <c r="B12" s="16">
        <v>0</v>
      </c>
      <c r="C12" s="16">
        <v>0</v>
      </c>
      <c r="D12" s="16" t="s">
        <v>1026</v>
      </c>
      <c r="E12" s="16">
        <f>6-$D$32</f>
        <v>6</v>
      </c>
      <c r="F12" s="14">
        <v>100000</v>
      </c>
      <c r="G12" s="14">
        <v>90100</v>
      </c>
      <c r="H12" s="14">
        <v>90000</v>
      </c>
      <c r="I12" s="16"/>
      <c r="L12">
        <v>97</v>
      </c>
      <c r="M12">
        <v>11</v>
      </c>
      <c r="N12">
        <f t="shared" si="3"/>
        <v>1194.1666666666667</v>
      </c>
      <c r="O12" s="3">
        <f t="shared" si="1"/>
        <v>104281.28640080823</v>
      </c>
      <c r="P12" s="3">
        <f t="shared" si="2"/>
        <v>14384.255700526252</v>
      </c>
    </row>
    <row r="13" spans="1:25" x14ac:dyDescent="0.25">
      <c r="A13" s="11" t="s">
        <v>994</v>
      </c>
      <c r="B13" s="11">
        <v>0</v>
      </c>
      <c r="C13" s="11">
        <v>0</v>
      </c>
      <c r="D13" s="11" t="s">
        <v>1027</v>
      </c>
      <c r="E13" s="11">
        <f>7-$D$32</f>
        <v>7</v>
      </c>
      <c r="F13" s="3">
        <v>100000</v>
      </c>
      <c r="G13" s="3">
        <v>88600</v>
      </c>
      <c r="H13" s="3">
        <v>88100</v>
      </c>
      <c r="I13" s="11"/>
      <c r="L13">
        <v>97</v>
      </c>
      <c r="M13">
        <v>12</v>
      </c>
      <c r="N13">
        <f t="shared" si="3"/>
        <v>1194.1666666666667</v>
      </c>
      <c r="O13" s="3">
        <f t="shared" si="1"/>
        <v>106158.34955602277</v>
      </c>
      <c r="P13" s="3">
        <f t="shared" si="2"/>
        <v>15837.338969802391</v>
      </c>
    </row>
    <row r="14" spans="1:25" x14ac:dyDescent="0.25">
      <c r="A14" s="16" t="s">
        <v>995</v>
      </c>
      <c r="B14" s="16">
        <v>0</v>
      </c>
      <c r="C14" s="16">
        <v>0</v>
      </c>
      <c r="D14" s="16" t="s">
        <v>1028</v>
      </c>
      <c r="E14" s="16">
        <f>20-$D$32</f>
        <v>20</v>
      </c>
      <c r="F14" s="14">
        <v>100000</v>
      </c>
      <c r="G14" s="14">
        <v>71000</v>
      </c>
      <c r="H14" s="14">
        <v>70000</v>
      </c>
      <c r="I14" s="16"/>
      <c r="L14">
        <v>98</v>
      </c>
      <c r="M14">
        <v>1</v>
      </c>
      <c r="N14">
        <f t="shared" si="3"/>
        <v>1194.1666666666667</v>
      </c>
      <c r="O14" s="3">
        <f t="shared" si="1"/>
        <v>108069.19984803119</v>
      </c>
      <c r="P14" s="3">
        <f t="shared" si="2"/>
        <v>17316.577737925501</v>
      </c>
    </row>
    <row r="15" spans="1:25" x14ac:dyDescent="0.25">
      <c r="A15" s="11" t="s">
        <v>996</v>
      </c>
      <c r="B15" s="11">
        <v>0</v>
      </c>
      <c r="C15" s="11">
        <v>0</v>
      </c>
      <c r="D15" s="11" t="s">
        <v>1029</v>
      </c>
      <c r="E15" s="11">
        <f>9-$D$32</f>
        <v>9</v>
      </c>
      <c r="F15" s="3">
        <v>100000</v>
      </c>
      <c r="G15" s="3">
        <v>84500</v>
      </c>
      <c r="H15" s="3">
        <v>85000</v>
      </c>
      <c r="I15" s="11"/>
      <c r="L15">
        <v>98</v>
      </c>
      <c r="M15">
        <v>2</v>
      </c>
      <c r="N15">
        <f t="shared" si="3"/>
        <v>1194.1666666666667</v>
      </c>
      <c r="O15" s="3">
        <f t="shared" si="1"/>
        <v>110014.44544529576</v>
      </c>
      <c r="P15" s="3">
        <f t="shared" si="2"/>
        <v>18822.44280387483</v>
      </c>
    </row>
    <row r="16" spans="1:25" x14ac:dyDescent="0.25">
      <c r="A16" s="16" t="s">
        <v>997</v>
      </c>
      <c r="B16" s="16">
        <v>0</v>
      </c>
      <c r="C16" s="16">
        <v>0</v>
      </c>
      <c r="D16" s="16" t="s">
        <v>1030</v>
      </c>
      <c r="E16" s="16">
        <f>19-$D$32</f>
        <v>19</v>
      </c>
      <c r="F16" s="14">
        <v>100000</v>
      </c>
      <c r="G16" s="14">
        <v>71000</v>
      </c>
      <c r="H16" s="14">
        <v>71000</v>
      </c>
      <c r="I16" s="16"/>
      <c r="L16">
        <v>98</v>
      </c>
      <c r="M16">
        <v>3</v>
      </c>
      <c r="N16">
        <f t="shared" si="3"/>
        <v>1194.1666666666667</v>
      </c>
      <c r="O16" s="3">
        <f t="shared" si="1"/>
        <v>111994.70546331108</v>
      </c>
      <c r="P16" s="3">
        <f t="shared" si="2"/>
        <v>20355.413441011246</v>
      </c>
    </row>
    <row r="17" spans="1:16" x14ac:dyDescent="0.25">
      <c r="A17" s="11" t="s">
        <v>998</v>
      </c>
      <c r="B17" s="11">
        <v>0</v>
      </c>
      <c r="C17" s="11">
        <v>0</v>
      </c>
      <c r="D17" s="11" t="s">
        <v>1032</v>
      </c>
      <c r="E17" s="11">
        <f>10-$D$32</f>
        <v>10</v>
      </c>
      <c r="F17" s="3">
        <v>100000</v>
      </c>
      <c r="G17" s="3">
        <v>84000</v>
      </c>
      <c r="H17" s="3">
        <v>83500</v>
      </c>
      <c r="I17" s="11"/>
      <c r="L17">
        <v>98</v>
      </c>
      <c r="M17">
        <v>4</v>
      </c>
      <c r="N17">
        <f t="shared" si="3"/>
        <v>1194.1666666666667</v>
      </c>
      <c r="O17" s="3">
        <f t="shared" si="1"/>
        <v>114010.61016165068</v>
      </c>
      <c r="P17" s="3">
        <f t="shared" si="2"/>
        <v>21915.977549616116</v>
      </c>
    </row>
    <row r="18" spans="1:16" x14ac:dyDescent="0.25">
      <c r="A18" s="16" t="s">
        <v>1017</v>
      </c>
      <c r="B18" s="16">
        <v>0</v>
      </c>
      <c r="C18" s="16">
        <v>0</v>
      </c>
      <c r="D18" s="16" t="s">
        <v>1031</v>
      </c>
      <c r="E18" s="16">
        <f>16-$D$32</f>
        <v>16</v>
      </c>
      <c r="F18" s="14">
        <v>100000</v>
      </c>
      <c r="G18" s="14">
        <v>75500</v>
      </c>
      <c r="H18" s="14">
        <v>74800</v>
      </c>
      <c r="I18" s="16"/>
      <c r="L18">
        <v>98</v>
      </c>
      <c r="M18">
        <v>5</v>
      </c>
      <c r="N18">
        <f t="shared" si="3"/>
        <v>1194.1666666666667</v>
      </c>
      <c r="O18" s="3">
        <f t="shared" si="1"/>
        <v>116062.80114456039</v>
      </c>
      <c r="P18" s="3">
        <f t="shared" si="2"/>
        <v>23504.631812175874</v>
      </c>
    </row>
    <row r="19" spans="1:16" x14ac:dyDescent="0.25">
      <c r="A19" s="11" t="s">
        <v>1018</v>
      </c>
      <c r="B19" s="11">
        <v>0</v>
      </c>
      <c r="C19" s="11">
        <v>0</v>
      </c>
      <c r="D19" s="11" t="s">
        <v>1031</v>
      </c>
      <c r="E19" s="11">
        <f>16-$D$32</f>
        <v>16</v>
      </c>
      <c r="F19" s="3">
        <v>100000</v>
      </c>
      <c r="G19" s="3">
        <v>75500</v>
      </c>
      <c r="H19" s="3">
        <v>74800</v>
      </c>
      <c r="I19" s="11"/>
      <c r="L19">
        <v>98</v>
      </c>
      <c r="M19">
        <v>6</v>
      </c>
      <c r="N19">
        <f t="shared" si="3"/>
        <v>1194.1666666666667</v>
      </c>
      <c r="O19" s="3">
        <f t="shared" si="1"/>
        <v>118151.93156516248</v>
      </c>
      <c r="P19" s="3">
        <f t="shared" si="2"/>
        <v>25121.881851461709</v>
      </c>
    </row>
    <row r="20" spans="1:16" x14ac:dyDescent="0.25">
      <c r="A20" s="16" t="s">
        <v>1019</v>
      </c>
      <c r="B20" s="16">
        <v>0</v>
      </c>
      <c r="C20" s="16">
        <v>0</v>
      </c>
      <c r="D20" s="16" t="s">
        <v>1037</v>
      </c>
      <c r="E20" s="16">
        <f>21-$D$32</f>
        <v>21</v>
      </c>
      <c r="F20" s="14">
        <v>100000</v>
      </c>
      <c r="G20" s="14">
        <v>70000</v>
      </c>
      <c r="H20" s="14">
        <v>68200</v>
      </c>
      <c r="I20" s="16"/>
      <c r="L20">
        <v>98</v>
      </c>
      <c r="M20" s="9">
        <v>7</v>
      </c>
      <c r="N20">
        <f t="shared" si="3"/>
        <v>1194.1666666666667</v>
      </c>
      <c r="O20" s="3">
        <f t="shared" si="1"/>
        <v>120278.66633333541</v>
      </c>
      <c r="P20" s="3">
        <f t="shared" si="2"/>
        <v>26768.242391454689</v>
      </c>
    </row>
    <row r="21" spans="1:16" x14ac:dyDescent="0.25">
      <c r="A21" s="11" t="s">
        <v>1020</v>
      </c>
      <c r="B21" s="11">
        <v>0</v>
      </c>
      <c r="C21" s="11">
        <v>0</v>
      </c>
      <c r="D21" s="11" t="s">
        <v>1038</v>
      </c>
      <c r="E21" s="11">
        <f>9-$D$32</f>
        <v>9</v>
      </c>
      <c r="F21" s="3">
        <v>100000</v>
      </c>
      <c r="G21" s="3">
        <v>86600</v>
      </c>
      <c r="H21" s="3">
        <v>85000</v>
      </c>
      <c r="I21" s="11"/>
      <c r="J21" t="s">
        <v>25</v>
      </c>
      <c r="L21">
        <v>98</v>
      </c>
      <c r="M21">
        <v>8</v>
      </c>
      <c r="N21">
        <f t="shared" si="3"/>
        <v>1194.1666666666667</v>
      </c>
      <c r="O21" s="3">
        <f>O20*(1+$R$2/1200)</f>
        <v>122443.68232733545</v>
      </c>
      <c r="P21" s="3">
        <f t="shared" si="2"/>
        <v>28444.237421167541</v>
      </c>
    </row>
    <row r="22" spans="1:16" x14ac:dyDescent="0.25">
      <c r="A22" s="16" t="s">
        <v>1021</v>
      </c>
      <c r="B22" s="16">
        <v>0</v>
      </c>
      <c r="C22" s="16">
        <v>0</v>
      </c>
      <c r="D22" s="16" t="s">
        <v>1039</v>
      </c>
      <c r="E22" s="16">
        <f>23-$D$32</f>
        <v>23</v>
      </c>
      <c r="F22" s="14">
        <v>100000</v>
      </c>
      <c r="G22" s="14">
        <v>68000</v>
      </c>
      <c r="H22" s="14">
        <v>66000</v>
      </c>
      <c r="I22" s="16"/>
      <c r="L22">
        <v>98</v>
      </c>
      <c r="M22" s="9">
        <v>9</v>
      </c>
      <c r="N22">
        <f t="shared" si="3"/>
        <v>1194.1666666666667</v>
      </c>
      <c r="O22" s="3">
        <f t="shared" ref="O22:O49" si="4">O21*(1+$R$2/1200)</f>
        <v>124647.66860922749</v>
      </c>
      <c r="P22" s="3">
        <f t="shared" si="2"/>
        <v>30150.400361415224</v>
      </c>
    </row>
    <row r="23" spans="1:16" x14ac:dyDescent="0.25">
      <c r="A23" s="11" t="s">
        <v>1022</v>
      </c>
      <c r="B23" s="11">
        <v>0</v>
      </c>
      <c r="C23" s="11">
        <v>0</v>
      </c>
      <c r="D23" s="11" t="s">
        <v>1040</v>
      </c>
      <c r="E23" s="11">
        <f>22-$D$32</f>
        <v>22</v>
      </c>
      <c r="F23" s="3">
        <v>100000</v>
      </c>
      <c r="G23" s="3">
        <v>69000</v>
      </c>
      <c r="H23" s="3">
        <v>67000</v>
      </c>
      <c r="I23" s="11"/>
      <c r="L23">
        <v>98</v>
      </c>
      <c r="M23">
        <v>10</v>
      </c>
      <c r="N23">
        <f t="shared" si="3"/>
        <v>1194.1666666666667</v>
      </c>
      <c r="O23" s="3">
        <f t="shared" si="4"/>
        <v>126891.32664419358</v>
      </c>
      <c r="P23" s="3">
        <f t="shared" si="2"/>
        <v>31887.274234587367</v>
      </c>
    </row>
    <row r="24" spans="1:16" x14ac:dyDescent="0.25">
      <c r="A24" s="16" t="s">
        <v>1023</v>
      </c>
      <c r="B24" s="16">
        <v>0</v>
      </c>
      <c r="C24" s="16">
        <v>0</v>
      </c>
      <c r="D24" s="16" t="s">
        <v>1040</v>
      </c>
      <c r="E24" s="16">
        <f>22-$D$32</f>
        <v>22</v>
      </c>
      <c r="F24" s="14">
        <v>100000</v>
      </c>
      <c r="G24" s="14">
        <v>69000</v>
      </c>
      <c r="H24" s="14">
        <v>67000</v>
      </c>
      <c r="I24" s="16"/>
      <c r="L24">
        <v>98</v>
      </c>
      <c r="M24">
        <v>11</v>
      </c>
      <c r="N24">
        <f t="shared" si="3"/>
        <v>1194.1666666666667</v>
      </c>
      <c r="O24" s="3">
        <f t="shared" si="4"/>
        <v>129175.37052378907</v>
      </c>
      <c r="P24" s="3">
        <f t="shared" si="2"/>
        <v>33655.411837476604</v>
      </c>
    </row>
    <row r="25" spans="1:16" x14ac:dyDescent="0.25">
      <c r="A25" s="11" t="s">
        <v>1024</v>
      </c>
      <c r="B25" s="11">
        <v>0</v>
      </c>
      <c r="C25" s="11">
        <v>0</v>
      </c>
      <c r="D25" s="11" t="s">
        <v>1028</v>
      </c>
      <c r="E25" s="11">
        <f>20-$D$32</f>
        <v>20</v>
      </c>
      <c r="F25" s="3">
        <v>100000</v>
      </c>
      <c r="G25" s="3">
        <v>70500</v>
      </c>
      <c r="H25" s="3">
        <v>69600</v>
      </c>
      <c r="I25" s="11"/>
      <c r="L25">
        <v>98</v>
      </c>
      <c r="M25">
        <v>12</v>
      </c>
      <c r="N25">
        <f t="shared" si="3"/>
        <v>1194.1666666666667</v>
      </c>
      <c r="O25" s="3">
        <f t="shared" si="4"/>
        <v>131500.52719321728</v>
      </c>
      <c r="P25" s="3">
        <f t="shared" si="2"/>
        <v>35455.375917217847</v>
      </c>
    </row>
    <row r="26" spans="1:16" x14ac:dyDescent="0.25">
      <c r="A26" s="16" t="s">
        <v>1000</v>
      </c>
      <c r="B26" s="16">
        <v>20</v>
      </c>
      <c r="C26" s="16">
        <v>6</v>
      </c>
      <c r="D26" s="16" t="s">
        <v>1006</v>
      </c>
      <c r="E26" s="16">
        <f>42-$D$32</f>
        <v>42</v>
      </c>
      <c r="F26" s="14">
        <v>100000</v>
      </c>
      <c r="G26" s="14">
        <v>100000</v>
      </c>
      <c r="H26" s="14"/>
      <c r="I26" s="16"/>
      <c r="L26">
        <v>99</v>
      </c>
      <c r="M26">
        <v>1</v>
      </c>
      <c r="N26">
        <f t="shared" si="3"/>
        <v>1194.1666666666667</v>
      </c>
      <c r="O26" s="3">
        <f t="shared" si="4"/>
        <v>133867.53668269518</v>
      </c>
      <c r="P26" s="3">
        <f t="shared" si="2"/>
        <v>37287.739350394433</v>
      </c>
    </row>
    <row r="27" spans="1:16" x14ac:dyDescent="0.25">
      <c r="A27" s="11" t="s">
        <v>1001</v>
      </c>
      <c r="B27" s="11">
        <v>18</v>
      </c>
      <c r="C27" s="11">
        <v>6</v>
      </c>
      <c r="D27" s="11" t="s">
        <v>1005</v>
      </c>
      <c r="E27" s="11">
        <f>42-$D$32</f>
        <v>42</v>
      </c>
      <c r="F27" s="3">
        <v>100000</v>
      </c>
      <c r="G27" s="3"/>
      <c r="H27" s="3"/>
      <c r="I27" s="11"/>
      <c r="L27">
        <v>99</v>
      </c>
      <c r="M27">
        <v>2</v>
      </c>
      <c r="N27">
        <f t="shared" si="3"/>
        <v>1194.1666666666667</v>
      </c>
      <c r="O27" s="3">
        <f t="shared" si="4"/>
        <v>136277.1523429837</v>
      </c>
      <c r="P27" s="3">
        <f t="shared" si="2"/>
        <v>39153.0853253682</v>
      </c>
    </row>
    <row r="28" spans="1:16" x14ac:dyDescent="0.25">
      <c r="A28" s="16" t="s">
        <v>1007</v>
      </c>
      <c r="B28" s="16">
        <v>22</v>
      </c>
      <c r="C28" s="16">
        <v>3</v>
      </c>
      <c r="D28" s="16" t="s">
        <v>1008</v>
      </c>
      <c r="E28" s="16">
        <f>12-$D$32</f>
        <v>12</v>
      </c>
      <c r="F28" s="14">
        <v>100000</v>
      </c>
      <c r="G28" s="14">
        <v>103000</v>
      </c>
      <c r="H28" s="14"/>
      <c r="I28" s="16"/>
      <c r="L28">
        <v>99</v>
      </c>
      <c r="M28">
        <v>3</v>
      </c>
      <c r="N28">
        <f t="shared" si="3"/>
        <v>1194.1666666666667</v>
      </c>
      <c r="O28" s="3">
        <f t="shared" si="4"/>
        <v>138730.1410851574</v>
      </c>
      <c r="P28" s="3">
        <f t="shared" si="2"/>
        <v>41052.007527891496</v>
      </c>
    </row>
    <row r="29" spans="1:16" x14ac:dyDescent="0.25">
      <c r="A29" s="11" t="s">
        <v>1033</v>
      </c>
      <c r="B29" s="11">
        <v>21</v>
      </c>
      <c r="C29" s="11">
        <v>1</v>
      </c>
      <c r="D29" s="11" t="s">
        <v>1034</v>
      </c>
      <c r="E29" s="11">
        <f>26-$D$32</f>
        <v>26</v>
      </c>
      <c r="F29" s="3">
        <v>100000</v>
      </c>
      <c r="G29" s="3">
        <v>104000</v>
      </c>
      <c r="H29" s="3">
        <v>100000</v>
      </c>
      <c r="I29" s="11" t="s">
        <v>1036</v>
      </c>
      <c r="L29">
        <v>99</v>
      </c>
      <c r="M29">
        <v>4</v>
      </c>
      <c r="N29">
        <f t="shared" si="3"/>
        <v>1194.1666666666667</v>
      </c>
      <c r="O29" s="3">
        <f t="shared" si="4"/>
        <v>141227.28362469023</v>
      </c>
      <c r="P29" s="3">
        <f t="shared" si="2"/>
        <v>42985.110330060204</v>
      </c>
    </row>
    <row r="30" spans="1:16" x14ac:dyDescent="0.25">
      <c r="L30">
        <v>99</v>
      </c>
      <c r="M30">
        <v>5</v>
      </c>
      <c r="N30">
        <f t="shared" si="3"/>
        <v>1194.1666666666667</v>
      </c>
      <c r="O30" s="3">
        <f t="shared" si="4"/>
        <v>143769.37472993464</v>
      </c>
      <c r="P30" s="3">
        <f t="shared" si="2"/>
        <v>44953.008982667954</v>
      </c>
    </row>
    <row r="31" spans="1:16" x14ac:dyDescent="0.25">
      <c r="L31">
        <v>99</v>
      </c>
      <c r="M31">
        <v>6</v>
      </c>
      <c r="N31">
        <f t="shared" si="3"/>
        <v>1194.1666666666667</v>
      </c>
      <c r="O31" s="3">
        <f t="shared" si="4"/>
        <v>146357.22347507346</v>
      </c>
      <c r="P31" s="3">
        <f t="shared" si="2"/>
        <v>46956.329811022639</v>
      </c>
    </row>
    <row r="32" spans="1:16" x14ac:dyDescent="0.25">
      <c r="B32" t="s">
        <v>1042</v>
      </c>
      <c r="C32" t="s">
        <v>1043</v>
      </c>
      <c r="D32">
        <v>0</v>
      </c>
      <c r="L32">
        <v>99</v>
      </c>
      <c r="M32">
        <v>7</v>
      </c>
      <c r="N32">
        <f t="shared" si="3"/>
        <v>1194.1666666666667</v>
      </c>
      <c r="O32" s="3">
        <f t="shared" si="4"/>
        <v>148991.65349762479</v>
      </c>
      <c r="P32" s="3">
        <f t="shared" si="2"/>
        <v>48995.710414287714</v>
      </c>
    </row>
    <row r="33" spans="12:16" x14ac:dyDescent="0.25">
      <c r="L33">
        <v>99</v>
      </c>
      <c r="M33">
        <v>8</v>
      </c>
      <c r="N33">
        <f t="shared" si="3"/>
        <v>1194.1666666666667</v>
      </c>
      <c r="O33" s="3">
        <f t="shared" si="4"/>
        <v>151673.50326058205</v>
      </c>
      <c r="P33" s="3">
        <f t="shared" si="2"/>
        <v>51071.799868411559</v>
      </c>
    </row>
    <row r="34" spans="12:16" x14ac:dyDescent="0.25">
      <c r="L34">
        <v>99</v>
      </c>
      <c r="M34" s="9">
        <v>9</v>
      </c>
      <c r="N34">
        <f t="shared" si="3"/>
        <v>1194.1666666666667</v>
      </c>
      <c r="O34" s="3">
        <f t="shared" si="4"/>
        <v>154403.62631927253</v>
      </c>
      <c r="P34" s="3">
        <f t="shared" si="2"/>
        <v>53185.258932709636</v>
      </c>
    </row>
    <row r="35" spans="12:16" x14ac:dyDescent="0.25">
      <c r="L35">
        <v>99</v>
      </c>
      <c r="M35">
        <v>10</v>
      </c>
      <c r="N35">
        <f t="shared" si="3"/>
        <v>1194.1666666666667</v>
      </c>
      <c r="O35" s="3">
        <f t="shared" si="4"/>
        <v>157182.89159301945</v>
      </c>
      <c r="P35" s="3">
        <f t="shared" si="2"/>
        <v>55336.760260165072</v>
      </c>
    </row>
    <row r="36" spans="12:16" x14ac:dyDescent="0.25">
      <c r="L36">
        <v>99</v>
      </c>
      <c r="M36">
        <v>11</v>
      </c>
      <c r="N36">
        <f t="shared" si="3"/>
        <v>1194.1666666666667</v>
      </c>
      <c r="O36" s="3">
        <f t="shared" si="4"/>
        <v>160012.18364169379</v>
      </c>
      <c r="P36" s="3">
        <f t="shared" si="2"/>
        <v>57526.988611514709</v>
      </c>
    </row>
    <row r="37" spans="12:16" x14ac:dyDescent="0.25">
      <c r="L37">
        <v>99</v>
      </c>
      <c r="M37">
        <v>12</v>
      </c>
      <c r="N37">
        <f t="shared" si="3"/>
        <v>1194.1666666666667</v>
      </c>
      <c r="O37" s="3">
        <f t="shared" si="4"/>
        <v>162892.40294724429</v>
      </c>
      <c r="P37" s="3">
        <f t="shared" si="2"/>
        <v>59756.641073188643</v>
      </c>
    </row>
    <row r="38" spans="12:16" x14ac:dyDescent="0.25">
      <c r="L38">
        <v>100</v>
      </c>
      <c r="M38">
        <v>1</v>
      </c>
      <c r="N38">
        <f t="shared" si="3"/>
        <v>1194.1666666666667</v>
      </c>
      <c r="O38" s="3">
        <f t="shared" si="4"/>
        <v>165824.4662002947</v>
      </c>
      <c r="P38" s="3">
        <f t="shared" si="2"/>
        <v>62026.427279172705</v>
      </c>
    </row>
    <row r="39" spans="12:16" x14ac:dyDescent="0.25">
      <c r="L39">
        <v>100</v>
      </c>
      <c r="M39">
        <v>2</v>
      </c>
      <c r="N39">
        <f t="shared" si="3"/>
        <v>1194.1666666666667</v>
      </c>
      <c r="O39" s="3">
        <f t="shared" si="4"/>
        <v>168809.30659190001</v>
      </c>
      <c r="P39" s="3">
        <f t="shared" si="2"/>
        <v>64337.069636864479</v>
      </c>
    </row>
    <row r="40" spans="12:16" x14ac:dyDescent="0.25">
      <c r="L40">
        <v>100</v>
      </c>
      <c r="M40">
        <v>3</v>
      </c>
      <c r="N40">
        <f t="shared" si="3"/>
        <v>1194.1666666666667</v>
      </c>
      <c r="O40" s="3">
        <f t="shared" si="4"/>
        <v>171847.8741105542</v>
      </c>
      <c r="P40" s="3">
        <f t="shared" si="2"/>
        <v>66689.30355699471</v>
      </c>
    </row>
    <row r="41" spans="12:16" x14ac:dyDescent="0.25">
      <c r="L41">
        <v>100</v>
      </c>
      <c r="M41">
        <v>4</v>
      </c>
      <c r="N41">
        <f t="shared" si="3"/>
        <v>1194.1666666666667</v>
      </c>
      <c r="O41" s="3">
        <f t="shared" si="4"/>
        <v>174941.13584454419</v>
      </c>
      <c r="P41" s="3">
        <f t="shared" si="2"/>
        <v>69083.877687687287</v>
      </c>
    </row>
    <row r="42" spans="12:16" x14ac:dyDescent="0.25">
      <c r="L42">
        <v>100</v>
      </c>
      <c r="M42">
        <v>5</v>
      </c>
      <c r="N42">
        <f t="shared" si="3"/>
        <v>1194.1666666666667</v>
      </c>
      <c r="O42" s="3">
        <f t="shared" si="4"/>
        <v>178090.07628974598</v>
      </c>
      <c r="P42" s="3">
        <f t="shared" si="2"/>
        <v>71521.554152732337</v>
      </c>
    </row>
    <row r="43" spans="12:16" x14ac:dyDescent="0.25">
      <c r="L43">
        <v>100</v>
      </c>
      <c r="M43" s="9">
        <v>6</v>
      </c>
      <c r="N43">
        <f t="shared" si="3"/>
        <v>1194.1666666666667</v>
      </c>
      <c r="O43" s="3">
        <f t="shared" si="4"/>
        <v>181295.69766296141</v>
      </c>
      <c r="P43" s="3">
        <f t="shared" si="2"/>
        <v>74003.108794148196</v>
      </c>
    </row>
    <row r="44" spans="12:16" x14ac:dyDescent="0.25">
      <c r="L44">
        <v>100</v>
      </c>
      <c r="M44">
        <v>7</v>
      </c>
      <c r="N44">
        <f t="shared" si="3"/>
        <v>1194.1666666666667</v>
      </c>
      <c r="O44" s="3">
        <f t="shared" si="4"/>
        <v>184559.02022089472</v>
      </c>
      <c r="P44" s="3">
        <f t="shared" si="2"/>
        <v>76529.331419109541</v>
      </c>
    </row>
    <row r="45" spans="12:16" x14ac:dyDescent="0.25">
      <c r="L45">
        <v>100</v>
      </c>
      <c r="M45">
        <v>8</v>
      </c>
      <c r="N45">
        <f t="shared" si="3"/>
        <v>1194.1666666666667</v>
      </c>
      <c r="O45" s="3">
        <f t="shared" si="4"/>
        <v>187881.08258487083</v>
      </c>
      <c r="P45" s="3">
        <f t="shared" si="2"/>
        <v>79101.026051320179</v>
      </c>
    </row>
    <row r="46" spans="12:16" x14ac:dyDescent="0.25">
      <c r="L46">
        <v>100</v>
      </c>
      <c r="M46">
        <v>9</v>
      </c>
      <c r="N46">
        <f t="shared" si="3"/>
        <v>1194.1666666666667</v>
      </c>
      <c r="O46" s="3">
        <f t="shared" si="4"/>
        <v>191262.94207139852</v>
      </c>
      <c r="P46" s="3">
        <f t="shared" si="2"/>
        <v>81719.011186910619</v>
      </c>
    </row>
    <row r="47" spans="12:16" x14ac:dyDescent="0.25">
      <c r="L47">
        <v>100</v>
      </c>
      <c r="M47">
        <v>10</v>
      </c>
      <c r="N47">
        <f t="shared" si="3"/>
        <v>1194.1666666666667</v>
      </c>
      <c r="O47" s="3">
        <f t="shared" si="4"/>
        <v>194705.67502868371</v>
      </c>
      <c r="P47" s="3">
        <f t="shared" si="2"/>
        <v>84384.120054941683</v>
      </c>
    </row>
    <row r="48" spans="12:16" x14ac:dyDescent="0.25">
      <c r="L48">
        <v>100</v>
      </c>
      <c r="M48">
        <v>11</v>
      </c>
      <c r="N48">
        <f t="shared" si="3"/>
        <v>1194.1666666666667</v>
      </c>
      <c r="O48" s="3">
        <f t="shared" si="4"/>
        <v>198210.3771792</v>
      </c>
      <c r="P48" s="3">
        <f t="shared" si="2"/>
        <v>87097.200882597303</v>
      </c>
    </row>
    <row r="49" spans="12:16" x14ac:dyDescent="0.25">
      <c r="L49">
        <v>100</v>
      </c>
      <c r="M49">
        <v>12</v>
      </c>
      <c r="N49">
        <f t="shared" si="3"/>
        <v>1194.1666666666667</v>
      </c>
      <c r="O49" s="3">
        <f t="shared" si="4"/>
        <v>201778.16396842559</v>
      </c>
      <c r="P49" s="3">
        <f t="shared" si="2"/>
        <v>89859.117165150732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D62" sqref="D6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1087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1064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1083</v>
      </c>
      <c r="B61" s="3">
        <v>4172</v>
      </c>
      <c r="C61" s="11" t="s">
        <v>1085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415456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2" sqref="G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658</v>
      </c>
      <c r="E2" s="11">
        <f>IF(B2&gt;0,1,0)</f>
        <v>1</v>
      </c>
      <c r="F2" s="11">
        <f>B2*(D2-E2)</f>
        <v>63531900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656</v>
      </c>
      <c r="E3" s="11">
        <f t="shared" ref="E3:E66" si="1">IF(B3&gt;0,1,0)</f>
        <v>1</v>
      </c>
      <c r="F3" s="11">
        <f t="shared" ref="F3:F66" si="2">B3*(D3-E3)</f>
        <v>1965000000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653</v>
      </c>
      <c r="E4" s="11">
        <f t="shared" si="1"/>
        <v>0</v>
      </c>
      <c r="F4" s="11">
        <f t="shared" si="2"/>
        <v>-130600000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651</v>
      </c>
      <c r="E5" s="11">
        <f t="shared" si="1"/>
        <v>0</v>
      </c>
      <c r="F5" s="11">
        <f t="shared" si="2"/>
        <v>-65100000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650</v>
      </c>
      <c r="E6" s="11">
        <f t="shared" si="1"/>
        <v>0</v>
      </c>
      <c r="F6" s="11">
        <f t="shared" si="2"/>
        <v>-35750000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649</v>
      </c>
      <c r="E7" s="11">
        <f t="shared" si="1"/>
        <v>0</v>
      </c>
      <c r="F7" s="11">
        <f t="shared" si="2"/>
        <v>-129800000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645</v>
      </c>
      <c r="E8" s="11">
        <f t="shared" si="1"/>
        <v>0</v>
      </c>
      <c r="F8" s="11">
        <f t="shared" si="2"/>
        <v>-129000000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635</v>
      </c>
      <c r="E9" s="11">
        <f t="shared" si="1"/>
        <v>0</v>
      </c>
      <c r="F9" s="11">
        <f t="shared" si="2"/>
        <v>-603567500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634</v>
      </c>
      <c r="E10" s="11">
        <f t="shared" si="1"/>
        <v>1</v>
      </c>
      <c r="F10" s="11">
        <f t="shared" si="2"/>
        <v>1266000000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632</v>
      </c>
      <c r="E11" s="11">
        <f t="shared" si="1"/>
        <v>0</v>
      </c>
      <c r="F11" s="11">
        <f t="shared" si="2"/>
        <v>-673080000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629</v>
      </c>
      <c r="E12" s="11">
        <f t="shared" si="1"/>
        <v>0</v>
      </c>
      <c r="F12" s="11">
        <f t="shared" si="2"/>
        <v>-28305000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628</v>
      </c>
      <c r="E13" s="11">
        <f t="shared" si="1"/>
        <v>0</v>
      </c>
      <c r="F13" s="11">
        <f t="shared" si="2"/>
        <v>-1256439600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624</v>
      </c>
      <c r="E14" s="11">
        <f t="shared" si="1"/>
        <v>0</v>
      </c>
      <c r="F14" s="11">
        <f t="shared" si="2"/>
        <v>-124800000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622</v>
      </c>
      <c r="E15" s="11">
        <f t="shared" si="1"/>
        <v>1</v>
      </c>
      <c r="F15" s="11">
        <f t="shared" si="2"/>
        <v>1242000000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622</v>
      </c>
      <c r="E16" s="11">
        <f t="shared" si="1"/>
        <v>1</v>
      </c>
      <c r="F16" s="11">
        <f t="shared" si="2"/>
        <v>1242000000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622</v>
      </c>
      <c r="E17" s="11">
        <f t="shared" si="1"/>
        <v>1</v>
      </c>
      <c r="F17" s="11">
        <f t="shared" si="2"/>
        <v>745200000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622</v>
      </c>
      <c r="E18" s="11">
        <f t="shared" si="1"/>
        <v>1</v>
      </c>
      <c r="F18" s="11">
        <f t="shared" si="2"/>
        <v>621000000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621</v>
      </c>
      <c r="E19" s="11">
        <f t="shared" si="1"/>
        <v>1</v>
      </c>
      <c r="F19" s="11">
        <f t="shared" si="2"/>
        <v>1860000000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621</v>
      </c>
      <c r="E20" s="11">
        <f t="shared" si="1"/>
        <v>0</v>
      </c>
      <c r="F20" s="11">
        <f t="shared" si="2"/>
        <v>-268706700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621</v>
      </c>
      <c r="E21" s="11">
        <f t="shared" si="1"/>
        <v>0</v>
      </c>
      <c r="F21" s="11">
        <f t="shared" si="2"/>
        <v>-268706700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621</v>
      </c>
      <c r="E22" s="11">
        <f t="shared" si="1"/>
        <v>0</v>
      </c>
      <c r="F22" s="11">
        <f t="shared" si="2"/>
        <v>-268706700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621</v>
      </c>
      <c r="E23" s="11">
        <f t="shared" si="1"/>
        <v>0</v>
      </c>
      <c r="F23" s="11">
        <f t="shared" si="2"/>
        <v>-268706700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621</v>
      </c>
      <c r="E24" s="11">
        <f t="shared" si="1"/>
        <v>0</v>
      </c>
      <c r="F24" s="11">
        <f t="shared" si="2"/>
        <v>-268706700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621</v>
      </c>
      <c r="E25" s="11">
        <f t="shared" si="1"/>
        <v>0</v>
      </c>
      <c r="F25" s="11">
        <f t="shared" si="2"/>
        <v>-124200000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620</v>
      </c>
      <c r="E26" s="11">
        <f t="shared" si="1"/>
        <v>1</v>
      </c>
      <c r="F26" s="11">
        <f t="shared" si="2"/>
        <v>1857000000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618</v>
      </c>
      <c r="E27" s="11">
        <f t="shared" si="1"/>
        <v>0</v>
      </c>
      <c r="F27" s="11">
        <f t="shared" si="2"/>
        <v>-123600000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617</v>
      </c>
      <c r="E28" s="11">
        <f t="shared" si="1"/>
        <v>1</v>
      </c>
      <c r="F28" s="11">
        <f t="shared" si="2"/>
        <v>1232000000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616</v>
      </c>
      <c r="E29" s="11">
        <f t="shared" si="1"/>
        <v>0</v>
      </c>
      <c r="F29" s="11">
        <f t="shared" si="2"/>
        <v>-4312492800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615</v>
      </c>
      <c r="E30" s="11">
        <f t="shared" si="1"/>
        <v>0</v>
      </c>
      <c r="F30" s="11">
        <f t="shared" si="2"/>
        <v>-1845553500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614</v>
      </c>
      <c r="E31" s="11">
        <f t="shared" si="1"/>
        <v>0</v>
      </c>
      <c r="F31" s="11">
        <f t="shared" si="2"/>
        <v>-1041282600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611</v>
      </c>
      <c r="E32" s="11">
        <f t="shared" si="1"/>
        <v>1</v>
      </c>
      <c r="F32" s="11">
        <f t="shared" si="2"/>
        <v>606523000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605</v>
      </c>
      <c r="E33" s="11">
        <f t="shared" si="1"/>
        <v>1</v>
      </c>
      <c r="F33" s="11">
        <f t="shared" si="2"/>
        <v>21194964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604</v>
      </c>
      <c r="E34" s="11">
        <f t="shared" si="1"/>
        <v>0</v>
      </c>
      <c r="F34" s="11">
        <f t="shared" si="2"/>
        <v>-513400000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596</v>
      </c>
      <c r="E35" s="11">
        <f t="shared" si="1"/>
        <v>0</v>
      </c>
      <c r="F35" s="11">
        <f t="shared" si="2"/>
        <v>-113538000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595</v>
      </c>
      <c r="E36" s="11">
        <f t="shared" si="1"/>
        <v>1</v>
      </c>
      <c r="F36" s="11">
        <f t="shared" si="2"/>
        <v>118800000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595</v>
      </c>
      <c r="E37" s="11">
        <f t="shared" si="1"/>
        <v>0</v>
      </c>
      <c r="F37" s="11">
        <f t="shared" si="2"/>
        <v>-119000000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573</v>
      </c>
      <c r="E38" s="11">
        <f t="shared" si="1"/>
        <v>1</v>
      </c>
      <c r="F38" s="11">
        <f t="shared" si="2"/>
        <v>172061032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572</v>
      </c>
      <c r="E39" s="11">
        <f t="shared" si="1"/>
        <v>0</v>
      </c>
      <c r="F39" s="11">
        <f t="shared" si="2"/>
        <v>-54340000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572</v>
      </c>
      <c r="E40" s="11">
        <f t="shared" si="1"/>
        <v>0</v>
      </c>
      <c r="F40" s="11">
        <f t="shared" si="2"/>
        <v>-50394916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567</v>
      </c>
      <c r="E41" s="11">
        <f t="shared" si="1"/>
        <v>0</v>
      </c>
      <c r="F41" s="11">
        <f t="shared" si="2"/>
        <v>-68040000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545</v>
      </c>
      <c r="E42" s="11">
        <f t="shared" si="1"/>
        <v>1</v>
      </c>
      <c r="F42" s="11">
        <f t="shared" si="2"/>
        <v>544110976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541</v>
      </c>
      <c r="E43" s="11">
        <f t="shared" si="1"/>
        <v>0</v>
      </c>
      <c r="F43" s="11">
        <f t="shared" si="2"/>
        <v>-43280000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537</v>
      </c>
      <c r="E44" s="11">
        <f t="shared" si="1"/>
        <v>0</v>
      </c>
      <c r="F44" s="11">
        <f t="shared" si="2"/>
        <v>-113322573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536</v>
      </c>
      <c r="E45" s="11">
        <f t="shared" si="1"/>
        <v>0</v>
      </c>
      <c r="F45" s="11">
        <f t="shared" si="2"/>
        <v>-107200000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535</v>
      </c>
      <c r="E46" s="11">
        <f t="shared" si="1"/>
        <v>0</v>
      </c>
      <c r="F46" s="11">
        <f t="shared" si="2"/>
        <v>-50825000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533</v>
      </c>
      <c r="E47" s="11">
        <f t="shared" si="1"/>
        <v>0</v>
      </c>
      <c r="F47" s="11">
        <f t="shared" si="2"/>
        <v>-23985000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533</v>
      </c>
      <c r="E48" s="11">
        <f t="shared" si="1"/>
        <v>0</v>
      </c>
      <c r="F48" s="11">
        <f t="shared" si="2"/>
        <v>-34207940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530</v>
      </c>
      <c r="E49" s="11">
        <f t="shared" si="1"/>
        <v>0</v>
      </c>
      <c r="F49" s="11">
        <f t="shared" si="2"/>
        <v>-14566520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529</v>
      </c>
      <c r="E50" s="11">
        <f t="shared" si="1"/>
        <v>0</v>
      </c>
      <c r="F50" s="11">
        <f t="shared" si="2"/>
        <v>-74589000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529</v>
      </c>
      <c r="E51" s="11">
        <f t="shared" si="1"/>
        <v>0</v>
      </c>
      <c r="F51" s="11">
        <f t="shared" si="2"/>
        <v>-14148634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528</v>
      </c>
      <c r="E52" s="11">
        <f t="shared" si="1"/>
        <v>0</v>
      </c>
      <c r="F52" s="11">
        <f t="shared" si="2"/>
        <v>-28142400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527</v>
      </c>
      <c r="E53" s="11">
        <f t="shared" si="1"/>
        <v>1</v>
      </c>
      <c r="F53" s="11">
        <f t="shared" si="2"/>
        <v>526000000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521</v>
      </c>
      <c r="E54" s="11">
        <f t="shared" si="1"/>
        <v>0</v>
      </c>
      <c r="F54" s="11">
        <f t="shared" si="2"/>
        <v>-10941000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520</v>
      </c>
      <c r="E55" s="11">
        <f t="shared" si="1"/>
        <v>0</v>
      </c>
      <c r="F55" s="11">
        <f t="shared" si="2"/>
        <v>-509860000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520</v>
      </c>
      <c r="E56" s="11">
        <f t="shared" si="1"/>
        <v>0</v>
      </c>
      <c r="F56" s="11">
        <f t="shared" si="2"/>
        <v>-23400000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507</v>
      </c>
      <c r="E57" s="11">
        <f t="shared" si="1"/>
        <v>1</v>
      </c>
      <c r="F57" s="11">
        <f t="shared" si="2"/>
        <v>1520625634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507</v>
      </c>
      <c r="E58" s="11">
        <f t="shared" si="1"/>
        <v>1</v>
      </c>
      <c r="F58" s="11">
        <f t="shared" si="2"/>
        <v>1012000000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506</v>
      </c>
      <c r="E59" s="11">
        <f t="shared" si="1"/>
        <v>1</v>
      </c>
      <c r="F59" s="11">
        <f t="shared" si="2"/>
        <v>1010000000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506</v>
      </c>
      <c r="E60" s="11">
        <f t="shared" si="1"/>
        <v>0</v>
      </c>
      <c r="F60" s="11">
        <f t="shared" si="2"/>
        <v>-3542759000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482</v>
      </c>
      <c r="E61" s="11">
        <f t="shared" si="1"/>
        <v>1</v>
      </c>
      <c r="F61" s="11">
        <f t="shared" si="2"/>
        <v>1443000000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481</v>
      </c>
      <c r="E62" s="11">
        <f t="shared" si="1"/>
        <v>0</v>
      </c>
      <c r="F62" s="11">
        <f t="shared" si="2"/>
        <v>-13039429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481</v>
      </c>
      <c r="E63" s="11">
        <f t="shared" si="1"/>
        <v>0</v>
      </c>
      <c r="F63" s="11">
        <f t="shared" si="2"/>
        <v>-15867709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481</v>
      </c>
      <c r="E64" s="11">
        <f t="shared" si="1"/>
        <v>1</v>
      </c>
      <c r="F64" s="11">
        <f t="shared" si="2"/>
        <v>1440000000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481</v>
      </c>
      <c r="E65" s="11">
        <f t="shared" si="1"/>
        <v>1</v>
      </c>
      <c r="F65" s="11">
        <f t="shared" si="2"/>
        <v>1425600000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481</v>
      </c>
      <c r="E66" s="11">
        <f t="shared" si="1"/>
        <v>1</v>
      </c>
      <c r="F66" s="11">
        <f t="shared" si="2"/>
        <v>480000000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481</v>
      </c>
      <c r="E67" s="11">
        <f t="shared" ref="E67:E130" si="4">IF(B67&gt;0,1,0)</f>
        <v>1</v>
      </c>
      <c r="F67" s="11">
        <f t="shared" ref="F67:F200" si="5">B67*(D67-E67)</f>
        <v>14400000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480</v>
      </c>
      <c r="E68" s="11">
        <f t="shared" si="4"/>
        <v>1</v>
      </c>
      <c r="F68" s="11">
        <f t="shared" si="5"/>
        <v>14370000000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479</v>
      </c>
      <c r="E69" s="11">
        <f t="shared" si="4"/>
        <v>0</v>
      </c>
      <c r="F69" s="11">
        <f t="shared" si="5"/>
        <v>-95800000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479</v>
      </c>
      <c r="E70" s="11">
        <f t="shared" si="4"/>
        <v>1</v>
      </c>
      <c r="F70" s="11">
        <f t="shared" si="5"/>
        <v>669200000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479</v>
      </c>
      <c r="E71" s="11">
        <f t="shared" si="4"/>
        <v>1</v>
      </c>
      <c r="F71" s="11">
        <f t="shared" si="5"/>
        <v>1242800000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479</v>
      </c>
      <c r="E72" s="11">
        <f t="shared" si="4"/>
        <v>0</v>
      </c>
      <c r="F72" s="11">
        <f t="shared" si="5"/>
        <v>-479000000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477</v>
      </c>
      <c r="E73" s="11">
        <f t="shared" si="4"/>
        <v>1</v>
      </c>
      <c r="F73" s="11">
        <f t="shared" si="5"/>
        <v>7140000000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472</v>
      </c>
      <c r="E74" s="11">
        <f t="shared" si="4"/>
        <v>0</v>
      </c>
      <c r="F74" s="11">
        <f t="shared" si="5"/>
        <v>-7081982400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470</v>
      </c>
      <c r="E75" s="11">
        <f t="shared" si="4"/>
        <v>0</v>
      </c>
      <c r="F75" s="11">
        <f t="shared" si="5"/>
        <v>-1410000000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470</v>
      </c>
      <c r="E76" s="11">
        <f t="shared" si="4"/>
        <v>0</v>
      </c>
      <c r="F76" s="11">
        <f t="shared" si="5"/>
        <v>-94000000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470</v>
      </c>
      <c r="E77" s="11">
        <f t="shared" si="4"/>
        <v>0</v>
      </c>
      <c r="F77" s="11">
        <f t="shared" si="5"/>
        <v>-5641410000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466</v>
      </c>
      <c r="E78" s="11">
        <f t="shared" si="4"/>
        <v>0</v>
      </c>
      <c r="F78" s="11">
        <f t="shared" si="5"/>
        <v>-1398419400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461</v>
      </c>
      <c r="E79" s="11">
        <f t="shared" si="4"/>
        <v>1</v>
      </c>
      <c r="F79" s="11">
        <f t="shared" si="5"/>
        <v>10580000000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456</v>
      </c>
      <c r="E80" s="11">
        <f t="shared" si="4"/>
        <v>0</v>
      </c>
      <c r="F80" s="11">
        <f t="shared" si="5"/>
        <v>-273828000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456</v>
      </c>
      <c r="E81" s="11">
        <f t="shared" si="4"/>
        <v>0</v>
      </c>
      <c r="F81" s="11">
        <f t="shared" si="5"/>
        <v>-91200000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455</v>
      </c>
      <c r="E82" s="11">
        <f t="shared" si="4"/>
        <v>1</v>
      </c>
      <c r="F82" s="11">
        <f t="shared" si="5"/>
        <v>128582334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455</v>
      </c>
      <c r="E83" s="11">
        <f t="shared" si="4"/>
        <v>0</v>
      </c>
      <c r="F83" s="11">
        <f t="shared" si="5"/>
        <v>-91000000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453</v>
      </c>
      <c r="E84" s="11">
        <f t="shared" si="4"/>
        <v>1</v>
      </c>
      <c r="F84" s="11">
        <f t="shared" si="5"/>
        <v>904000000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450</v>
      </c>
      <c r="E85" s="11">
        <f t="shared" si="4"/>
        <v>0</v>
      </c>
      <c r="F85" s="11">
        <f t="shared" si="5"/>
        <v>-90000000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444</v>
      </c>
      <c r="E86" s="11">
        <f t="shared" si="4"/>
        <v>0</v>
      </c>
      <c r="F86" s="11">
        <f t="shared" si="5"/>
        <v>-88800000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442</v>
      </c>
      <c r="E87" s="11">
        <f t="shared" si="4"/>
        <v>0</v>
      </c>
      <c r="F87" s="11">
        <f t="shared" si="5"/>
        <v>-585650000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427</v>
      </c>
      <c r="E88" s="11">
        <f t="shared" si="4"/>
        <v>0</v>
      </c>
      <c r="F88" s="11">
        <f t="shared" si="5"/>
        <v>-213500000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427</v>
      </c>
      <c r="E89" s="11">
        <f t="shared" si="4"/>
        <v>0</v>
      </c>
      <c r="F89" s="11">
        <f t="shared" si="5"/>
        <v>-51240000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425</v>
      </c>
      <c r="E90" s="11">
        <f t="shared" si="4"/>
        <v>1</v>
      </c>
      <c r="F90" s="11">
        <f t="shared" si="5"/>
        <v>181558920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422</v>
      </c>
      <c r="E91" s="11">
        <f t="shared" si="4"/>
        <v>0</v>
      </c>
      <c r="F91" s="11">
        <f t="shared" si="5"/>
        <v>-1266844000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420</v>
      </c>
      <c r="E92" s="11">
        <f t="shared" si="4"/>
        <v>0</v>
      </c>
      <c r="F92" s="11">
        <f t="shared" si="5"/>
        <v>-86100000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420</v>
      </c>
      <c r="E93" s="11">
        <f t="shared" si="4"/>
        <v>0</v>
      </c>
      <c r="F93" s="11">
        <f t="shared" si="5"/>
        <v>-147210000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409</v>
      </c>
      <c r="E94" s="11">
        <f t="shared" si="4"/>
        <v>1</v>
      </c>
      <c r="F94" s="11">
        <f t="shared" si="5"/>
        <v>408000000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404</v>
      </c>
      <c r="E95" s="11">
        <f t="shared" si="4"/>
        <v>1</v>
      </c>
      <c r="F95" s="11">
        <f t="shared" si="5"/>
        <v>3627000000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402</v>
      </c>
      <c r="E96" s="11">
        <f t="shared" si="4"/>
        <v>0</v>
      </c>
      <c r="F96" s="11">
        <f t="shared" si="5"/>
        <v>-10452000000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402</v>
      </c>
      <c r="E97" s="11">
        <f t="shared" si="4"/>
        <v>0</v>
      </c>
      <c r="F97" s="11">
        <f t="shared" si="5"/>
        <v>-10452000000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402</v>
      </c>
      <c r="E98" s="11">
        <f t="shared" si="4"/>
        <v>1</v>
      </c>
      <c r="F98" s="11">
        <f t="shared" si="5"/>
        <v>10426000000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402</v>
      </c>
      <c r="E99" s="11">
        <f t="shared" si="4"/>
        <v>0</v>
      </c>
      <c r="F99" s="11">
        <f t="shared" si="5"/>
        <v>-80400000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400</v>
      </c>
      <c r="E100" s="11">
        <f t="shared" si="4"/>
        <v>1</v>
      </c>
      <c r="F100" s="11">
        <f t="shared" si="5"/>
        <v>11650800000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395</v>
      </c>
      <c r="E101" s="11">
        <f t="shared" si="4"/>
        <v>1</v>
      </c>
      <c r="F101" s="11">
        <f t="shared" si="5"/>
        <v>157578330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394</v>
      </c>
      <c r="E102" s="11">
        <f t="shared" si="4"/>
        <v>1</v>
      </c>
      <c r="F102" s="11">
        <f t="shared" si="5"/>
        <v>786000000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393</v>
      </c>
      <c r="E103" s="11">
        <f t="shared" si="4"/>
        <v>1</v>
      </c>
      <c r="F103" s="11">
        <f t="shared" si="5"/>
        <v>2940000000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393</v>
      </c>
      <c r="E104" s="11">
        <f t="shared" si="4"/>
        <v>0</v>
      </c>
      <c r="F104" s="11">
        <f t="shared" si="5"/>
        <v>-25938000000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393</v>
      </c>
      <c r="E105" s="11">
        <f t="shared" si="4"/>
        <v>0</v>
      </c>
      <c r="F105" s="11">
        <f t="shared" si="5"/>
        <v>-56985000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391</v>
      </c>
      <c r="E106" s="11">
        <f t="shared" si="4"/>
        <v>1</v>
      </c>
      <c r="F106" s="11">
        <f t="shared" si="5"/>
        <v>2340000000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389</v>
      </c>
      <c r="E107" s="11">
        <f t="shared" si="4"/>
        <v>0</v>
      </c>
      <c r="F107" s="11">
        <f t="shared" si="5"/>
        <v>-2336295100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386</v>
      </c>
      <c r="E108" s="11">
        <f t="shared" si="4"/>
        <v>1</v>
      </c>
      <c r="F108" s="11">
        <f t="shared" si="5"/>
        <v>2310000000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374</v>
      </c>
      <c r="E109" s="11">
        <f t="shared" si="4"/>
        <v>0</v>
      </c>
      <c r="F109" s="11">
        <f t="shared" si="5"/>
        <v>-44880000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373</v>
      </c>
      <c r="E110" s="11">
        <f t="shared" si="4"/>
        <v>1</v>
      </c>
      <c r="F110" s="11">
        <f t="shared" si="5"/>
        <v>1488000000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372</v>
      </c>
      <c r="E111" s="11">
        <f t="shared" si="4"/>
        <v>1</v>
      </c>
      <c r="F111" s="11">
        <f t="shared" si="5"/>
        <v>1038800000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368</v>
      </c>
      <c r="E112" s="11">
        <f t="shared" si="4"/>
        <v>0</v>
      </c>
      <c r="F112" s="11">
        <f t="shared" si="5"/>
        <v>-73600000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367</v>
      </c>
      <c r="E113" s="11">
        <f t="shared" si="4"/>
        <v>1</v>
      </c>
      <c r="F113" s="11">
        <f t="shared" si="5"/>
        <v>26465460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350</v>
      </c>
      <c r="E114" s="11">
        <f t="shared" si="4"/>
        <v>0</v>
      </c>
      <c r="F114" s="11">
        <f t="shared" si="5"/>
        <v>-70000000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349</v>
      </c>
      <c r="E115" s="11">
        <f t="shared" si="4"/>
        <v>0</v>
      </c>
      <c r="F115" s="23">
        <f t="shared" si="5"/>
        <v>-3839000000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349</v>
      </c>
      <c r="E116" s="11">
        <f t="shared" si="4"/>
        <v>0</v>
      </c>
      <c r="F116" s="11">
        <f t="shared" si="5"/>
        <v>-69800000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347</v>
      </c>
      <c r="E117" s="11">
        <f t="shared" si="4"/>
        <v>0</v>
      </c>
      <c r="F117" s="11">
        <f t="shared" si="5"/>
        <v>-156323500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347</v>
      </c>
      <c r="E118" s="11">
        <f t="shared" si="4"/>
        <v>0</v>
      </c>
      <c r="F118" s="11">
        <f t="shared" si="5"/>
        <v>-69400000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341</v>
      </c>
      <c r="E119" s="11">
        <f t="shared" si="4"/>
        <v>0</v>
      </c>
      <c r="F119" s="11">
        <f t="shared" si="5"/>
        <v>-52701550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341</v>
      </c>
      <c r="E120" s="11">
        <f t="shared" si="4"/>
        <v>0</v>
      </c>
      <c r="F120" s="11">
        <f t="shared" si="5"/>
        <v>-109120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340</v>
      </c>
      <c r="E121" s="11">
        <f t="shared" si="4"/>
        <v>0</v>
      </c>
      <c r="F121" s="11">
        <f t="shared" si="5"/>
        <v>-146880000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334</v>
      </c>
      <c r="E122" s="11">
        <f t="shared" si="4"/>
        <v>1</v>
      </c>
      <c r="F122" s="11">
        <f t="shared" si="5"/>
        <v>24656319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313</v>
      </c>
      <c r="E123" s="11">
        <f t="shared" si="4"/>
        <v>0</v>
      </c>
      <c r="F123" s="11">
        <f t="shared" si="5"/>
        <v>-16276000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272</v>
      </c>
      <c r="E124" s="11">
        <f t="shared" si="4"/>
        <v>1</v>
      </c>
      <c r="F124" s="11">
        <f t="shared" si="5"/>
        <v>321677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271</v>
      </c>
      <c r="E125" s="11">
        <f t="shared" si="4"/>
        <v>1</v>
      </c>
      <c r="F125" s="11">
        <f t="shared" si="5"/>
        <v>648000000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269</v>
      </c>
      <c r="E126" s="11">
        <f t="shared" si="4"/>
        <v>1</v>
      </c>
      <c r="F126" s="11">
        <f t="shared" si="5"/>
        <v>359870400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269</v>
      </c>
      <c r="E127" s="11">
        <f t="shared" si="4"/>
        <v>1</v>
      </c>
      <c r="F127" s="11">
        <f t="shared" si="5"/>
        <v>359870400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257</v>
      </c>
      <c r="E128" s="11">
        <f t="shared" si="4"/>
        <v>0</v>
      </c>
      <c r="F128" s="11">
        <f t="shared" si="5"/>
        <v>-51400000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255</v>
      </c>
      <c r="E129" s="11">
        <f t="shared" si="4"/>
        <v>0</v>
      </c>
      <c r="F129" s="11">
        <f>B129*(D129-E129)</f>
        <v>-3982590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254</v>
      </c>
      <c r="E130" s="11">
        <f t="shared" si="4"/>
        <v>0</v>
      </c>
      <c r="F130" s="11">
        <f t="shared" si="5"/>
        <v>-50800000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253</v>
      </c>
      <c r="E131" s="11">
        <f t="shared" ref="E131:E201" si="7">IF(B131&gt;0,1,0)</f>
        <v>0</v>
      </c>
      <c r="F131" s="11">
        <f t="shared" si="5"/>
        <v>-50600000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252</v>
      </c>
      <c r="E132" s="11">
        <f t="shared" si="7"/>
        <v>0</v>
      </c>
      <c r="F132" s="11">
        <f t="shared" si="5"/>
        <v>-98280000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252</v>
      </c>
      <c r="E133" s="11">
        <f t="shared" si="7"/>
        <v>0</v>
      </c>
      <c r="F133" s="11">
        <f t="shared" si="5"/>
        <v>-6174000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251</v>
      </c>
      <c r="E134" s="11">
        <f t="shared" si="7"/>
        <v>0</v>
      </c>
      <c r="F134" s="11">
        <f t="shared" si="5"/>
        <v>-23845000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247</v>
      </c>
      <c r="E135" s="11">
        <f t="shared" si="7"/>
        <v>0</v>
      </c>
      <c r="F135" s="11">
        <f t="shared" si="5"/>
        <v>-49400000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245</v>
      </c>
      <c r="E136" s="11">
        <f t="shared" si="7"/>
        <v>1</v>
      </c>
      <c r="F136" s="11">
        <f t="shared" si="5"/>
        <v>12200000000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244</v>
      </c>
      <c r="E137" s="11">
        <f t="shared" si="7"/>
        <v>1</v>
      </c>
      <c r="F137" s="11">
        <f t="shared" si="5"/>
        <v>2916000000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242</v>
      </c>
      <c r="E138" s="11">
        <f t="shared" si="7"/>
        <v>1</v>
      </c>
      <c r="F138" s="11">
        <f t="shared" si="5"/>
        <v>482000000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241</v>
      </c>
      <c r="E139" s="11">
        <f t="shared" si="7"/>
        <v>1</v>
      </c>
      <c r="F139" s="11">
        <f t="shared" si="5"/>
        <v>21009120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228</v>
      </c>
      <c r="E140" s="11">
        <f t="shared" si="7"/>
        <v>0</v>
      </c>
      <c r="F140" s="11">
        <f t="shared" si="5"/>
        <v>-684205200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227</v>
      </c>
      <c r="E141" s="11">
        <f t="shared" si="7"/>
        <v>0</v>
      </c>
      <c r="F141" s="11">
        <f t="shared" si="5"/>
        <v>-681204300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210</v>
      </c>
      <c r="E142" s="11">
        <f t="shared" si="7"/>
        <v>1</v>
      </c>
      <c r="F142" s="11">
        <f t="shared" si="5"/>
        <v>125823225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210</v>
      </c>
      <c r="E143" s="11">
        <f t="shared" si="7"/>
        <v>0</v>
      </c>
      <c r="F143" s="11">
        <f t="shared" si="5"/>
        <v>-9660000000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179</v>
      </c>
      <c r="E144" s="11">
        <f t="shared" si="7"/>
        <v>1</v>
      </c>
      <c r="F144" s="11">
        <f t="shared" si="5"/>
        <v>27431046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178</v>
      </c>
      <c r="E145" s="11">
        <f t="shared" si="7"/>
        <v>1</v>
      </c>
      <c r="F145" s="11">
        <f t="shared" si="5"/>
        <v>531000000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175</v>
      </c>
      <c r="E146" s="11">
        <f t="shared" si="7"/>
        <v>0</v>
      </c>
      <c r="F146" s="11">
        <f t="shared" si="5"/>
        <v>-35000000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170</v>
      </c>
      <c r="E147" s="11">
        <f t="shared" si="7"/>
        <v>0</v>
      </c>
      <c r="F147" s="11">
        <f t="shared" si="5"/>
        <v>-34000000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169</v>
      </c>
      <c r="E148" s="11">
        <f t="shared" si="7"/>
        <v>0</v>
      </c>
      <c r="F148" s="11">
        <f t="shared" si="5"/>
        <v>-33800000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165</v>
      </c>
      <c r="E149" s="11">
        <f t="shared" si="7"/>
        <v>0</v>
      </c>
      <c r="F149" s="11">
        <f t="shared" si="5"/>
        <v>-33000000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164</v>
      </c>
      <c r="E150" s="11">
        <f t="shared" si="7"/>
        <v>1</v>
      </c>
      <c r="F150" s="11">
        <f t="shared" si="5"/>
        <v>3923964200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162</v>
      </c>
      <c r="E151" s="11">
        <f t="shared" si="7"/>
        <v>0</v>
      </c>
      <c r="F151" s="11">
        <f t="shared" si="5"/>
        <v>-32400000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156</v>
      </c>
      <c r="E152" s="11">
        <f t="shared" si="7"/>
        <v>0</v>
      </c>
      <c r="F152" s="11">
        <f t="shared" si="5"/>
        <v>-4680000000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155</v>
      </c>
      <c r="E153" s="11">
        <f t="shared" si="7"/>
        <v>0</v>
      </c>
      <c r="F153" s="11">
        <f t="shared" si="5"/>
        <v>-8060000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155</v>
      </c>
      <c r="E154" s="11">
        <f t="shared" si="7"/>
        <v>0</v>
      </c>
      <c r="F154" s="11">
        <f t="shared" si="5"/>
        <v>-21080000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150</v>
      </c>
      <c r="E155" s="11">
        <f t="shared" si="7"/>
        <v>1</v>
      </c>
      <c r="F155" s="11">
        <f t="shared" si="5"/>
        <v>447000000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149</v>
      </c>
      <c r="E156" s="11">
        <f t="shared" si="7"/>
        <v>1</v>
      </c>
      <c r="F156" s="11">
        <f t="shared" si="5"/>
        <v>27987244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149</v>
      </c>
      <c r="E157" s="11">
        <f t="shared" si="7"/>
        <v>1</v>
      </c>
      <c r="F157" s="11">
        <f t="shared" si="5"/>
        <v>3585699600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141</v>
      </c>
      <c r="E158" s="11">
        <f t="shared" si="7"/>
        <v>1</v>
      </c>
      <c r="F158" s="11">
        <f t="shared" si="5"/>
        <v>3401328000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141</v>
      </c>
      <c r="E159" s="11">
        <f t="shared" si="7"/>
        <v>0</v>
      </c>
      <c r="F159" s="11">
        <f t="shared" si="5"/>
        <v>-28341000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136</v>
      </c>
      <c r="E160" s="11">
        <f t="shared" si="7"/>
        <v>0</v>
      </c>
      <c r="F160" s="11">
        <f t="shared" si="5"/>
        <v>-27200000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133</v>
      </c>
      <c r="E161" s="11">
        <f t="shared" si="7"/>
        <v>0</v>
      </c>
      <c r="F161" s="11">
        <f t="shared" si="5"/>
        <v>-26600000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129</v>
      </c>
      <c r="E162" s="11">
        <f t="shared" si="7"/>
        <v>0</v>
      </c>
      <c r="F162" s="11">
        <f t="shared" si="5"/>
        <v>-25800000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126</v>
      </c>
      <c r="E163" s="11">
        <f t="shared" si="7"/>
        <v>0</v>
      </c>
      <c r="F163" s="11">
        <f t="shared" si="5"/>
        <v>-25200000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119</v>
      </c>
      <c r="E164" s="11">
        <f t="shared" si="7"/>
        <v>1</v>
      </c>
      <c r="F164" s="11">
        <f t="shared" si="5"/>
        <v>54005532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116</v>
      </c>
      <c r="E165" s="11">
        <f t="shared" si="7"/>
        <v>1</v>
      </c>
      <c r="F165" s="11">
        <f t="shared" si="5"/>
        <v>310500000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116</v>
      </c>
      <c r="E166" s="11">
        <f t="shared" si="7"/>
        <v>1</v>
      </c>
      <c r="F166" s="11">
        <f t="shared" si="5"/>
        <v>287500000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109</v>
      </c>
      <c r="E167" s="11">
        <f t="shared" si="7"/>
        <v>0</v>
      </c>
      <c r="F167" s="11">
        <f t="shared" si="5"/>
        <v>-21800000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107</v>
      </c>
      <c r="E168" s="11">
        <f t="shared" si="7"/>
        <v>0</v>
      </c>
      <c r="F168" s="11">
        <f t="shared" si="5"/>
        <v>-21400000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101</v>
      </c>
      <c r="E169" s="11">
        <f t="shared" si="7"/>
        <v>0</v>
      </c>
      <c r="F169" s="11">
        <f t="shared" si="5"/>
        <v>-20200000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98</v>
      </c>
      <c r="E170" s="11">
        <f t="shared" si="7"/>
        <v>0</v>
      </c>
      <c r="F170" s="11">
        <f t="shared" si="5"/>
        <v>-19600000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98</v>
      </c>
      <c r="E171" s="11">
        <f t="shared" si="7"/>
        <v>1</v>
      </c>
      <c r="F171" s="11">
        <f t="shared" si="5"/>
        <v>291000000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95</v>
      </c>
      <c r="E172" s="11">
        <f t="shared" si="7"/>
        <v>0</v>
      </c>
      <c r="F172" s="11">
        <f t="shared" si="5"/>
        <v>-19000000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94</v>
      </c>
      <c r="E173" s="11">
        <f t="shared" si="7"/>
        <v>1</v>
      </c>
      <c r="F173" s="11">
        <f t="shared" si="5"/>
        <v>279000000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93</v>
      </c>
      <c r="E174" s="11">
        <f t="shared" si="7"/>
        <v>1</v>
      </c>
      <c r="F174" s="11">
        <f t="shared" si="5"/>
        <v>184000000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92</v>
      </c>
      <c r="E175" s="11">
        <f t="shared" si="7"/>
        <v>1</v>
      </c>
      <c r="F175" s="11">
        <f t="shared" si="5"/>
        <v>118300000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90</v>
      </c>
      <c r="E176" s="11">
        <f t="shared" si="7"/>
        <v>0</v>
      </c>
      <c r="F176" s="11">
        <f t="shared" si="5"/>
        <v>-18000000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90</v>
      </c>
      <c r="E177" s="11">
        <f t="shared" si="7"/>
        <v>1</v>
      </c>
      <c r="F177" s="11">
        <f t="shared" si="5"/>
        <v>151300000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89</v>
      </c>
      <c r="E178" s="11">
        <f t="shared" si="7"/>
        <v>0</v>
      </c>
      <c r="F178" s="11">
        <f t="shared" si="5"/>
        <v>-17800000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88</v>
      </c>
      <c r="E179" s="11">
        <f t="shared" si="7"/>
        <v>1</v>
      </c>
      <c r="F179" s="11">
        <f t="shared" si="5"/>
        <v>49719804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85</v>
      </c>
      <c r="E180" s="11">
        <f t="shared" si="7"/>
        <v>1</v>
      </c>
      <c r="F180" s="11">
        <f t="shared" si="5"/>
        <v>252000000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78</v>
      </c>
      <c r="E181" s="11">
        <f t="shared" si="7"/>
        <v>1</v>
      </c>
      <c r="F181" s="11">
        <f t="shared" si="5"/>
        <v>154000000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70</v>
      </c>
      <c r="E182" s="11">
        <f t="shared" si="7"/>
        <v>0</v>
      </c>
      <c r="F182" s="11">
        <f t="shared" si="5"/>
        <v>-154049000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58</v>
      </c>
      <c r="E183" s="11">
        <f t="shared" si="7"/>
        <v>1</v>
      </c>
      <c r="F183" s="11">
        <f t="shared" si="5"/>
        <v>38479959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28</v>
      </c>
      <c r="E184" s="11">
        <f t="shared" si="7"/>
        <v>1</v>
      </c>
      <c r="F184" s="11">
        <f t="shared" si="5"/>
        <v>18279000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13</v>
      </c>
      <c r="E185" s="11">
        <f t="shared" si="7"/>
        <v>0</v>
      </c>
      <c r="F185" s="11">
        <f t="shared" si="5"/>
        <v>-130000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8</v>
      </c>
      <c r="E186" s="11">
        <f t="shared" si="7"/>
        <v>0</v>
      </c>
      <c r="F186" s="11">
        <f t="shared" si="5"/>
        <v>-644000000</v>
      </c>
      <c r="G186" s="11" t="s">
        <v>1065</v>
      </c>
    </row>
    <row r="187" spans="1:7" x14ac:dyDescent="0.25">
      <c r="A187" s="11" t="s">
        <v>1064</v>
      </c>
      <c r="B187" s="3">
        <v>-1100000</v>
      </c>
      <c r="C187" s="11">
        <v>0</v>
      </c>
      <c r="D187" s="11">
        <f t="shared" si="8"/>
        <v>3</v>
      </c>
      <c r="E187" s="11">
        <f t="shared" si="7"/>
        <v>0</v>
      </c>
      <c r="F187" s="11">
        <f t="shared" si="5"/>
        <v>-3300000</v>
      </c>
      <c r="G187" s="11" t="s">
        <v>1065</v>
      </c>
    </row>
    <row r="188" spans="1:7" x14ac:dyDescent="0.25">
      <c r="A188" s="11" t="s">
        <v>1064</v>
      </c>
      <c r="B188" s="3">
        <v>3000000</v>
      </c>
      <c r="C188" s="11">
        <v>1</v>
      </c>
      <c r="D188" s="11">
        <f t="shared" si="8"/>
        <v>3</v>
      </c>
      <c r="E188" s="11">
        <f t="shared" si="7"/>
        <v>1</v>
      </c>
      <c r="F188" s="11">
        <f t="shared" si="5"/>
        <v>6000000</v>
      </c>
      <c r="G188" s="11" t="s">
        <v>1076</v>
      </c>
    </row>
    <row r="189" spans="1:7" x14ac:dyDescent="0.25">
      <c r="A189" s="11" t="s">
        <v>1075</v>
      </c>
      <c r="B189" s="3">
        <v>2000000</v>
      </c>
      <c r="C189" s="11">
        <v>0</v>
      </c>
      <c r="D189" s="11">
        <f t="shared" si="8"/>
        <v>2</v>
      </c>
      <c r="E189" s="11">
        <f t="shared" si="7"/>
        <v>1</v>
      </c>
      <c r="F189" s="11">
        <f t="shared" si="5"/>
        <v>2000000</v>
      </c>
      <c r="G189" s="11" t="s">
        <v>1076</v>
      </c>
    </row>
    <row r="190" spans="1:7" x14ac:dyDescent="0.25">
      <c r="A190" s="11" t="s">
        <v>1075</v>
      </c>
      <c r="B190" s="3">
        <v>-5000000</v>
      </c>
      <c r="C190" s="11">
        <v>1</v>
      </c>
      <c r="D190" s="11">
        <f t="shared" si="8"/>
        <v>2</v>
      </c>
      <c r="E190" s="11">
        <f t="shared" si="7"/>
        <v>0</v>
      </c>
      <c r="F190" s="11">
        <f t="shared" si="5"/>
        <v>-10000000</v>
      </c>
      <c r="G190" s="11" t="s">
        <v>1065</v>
      </c>
    </row>
    <row r="191" spans="1:7" x14ac:dyDescent="0.25">
      <c r="A191" s="11" t="s">
        <v>1083</v>
      </c>
      <c r="B191" s="3">
        <v>483248</v>
      </c>
      <c r="C191" s="11">
        <v>1</v>
      </c>
      <c r="D191" s="11">
        <f t="shared" si="8"/>
        <v>1</v>
      </c>
      <c r="E191" s="11">
        <f t="shared" si="7"/>
        <v>1</v>
      </c>
      <c r="F191" s="11">
        <f t="shared" si="5"/>
        <v>0</v>
      </c>
      <c r="G191" s="11" t="s">
        <v>1085</v>
      </c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2099647</v>
      </c>
      <c r="C202" s="11"/>
      <c r="D202" s="11"/>
      <c r="E202" s="11"/>
      <c r="F202" s="29">
        <f>SUM(F2:F200)</f>
        <v>18254641295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27742615.949848026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tabSelected="1" zoomScaleNormal="100" workbookViewId="0">
      <selection activeCell="P26" sqref="P2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1088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1058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L26</f>
        <v>91405388.962500006</v>
      </c>
      <c r="G15" s="29">
        <f t="shared" si="0"/>
        <v>1594611.037499994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2099647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415456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-7550000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984000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7550000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فروش'!F79</f>
        <v>183428089.46250001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1055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1056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2" t="s">
        <v>599</v>
      </c>
      <c r="L26" s="3">
        <f>SUM(L16:L24)</f>
        <v>91405388.962500006</v>
      </c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600</v>
      </c>
      <c r="L27" s="3">
        <f>L16+L17+L20</f>
        <v>3499103</v>
      </c>
      <c r="M27" s="11"/>
      <c r="N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56" t="s">
        <v>719</v>
      </c>
      <c r="L28" s="1">
        <f>L26+N7</f>
        <v>148405388.96250001</v>
      </c>
      <c r="M28" s="29" t="s">
        <v>6</v>
      </c>
      <c r="N28" s="29">
        <f>SUM(N16:N27)</f>
        <v>154458003.5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6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K33" s="3"/>
      <c r="L33" s="11" t="s">
        <v>305</v>
      </c>
      <c r="M33" s="25"/>
      <c r="N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1" t="s">
        <v>306</v>
      </c>
      <c r="L34" s="1">
        <v>70000</v>
      </c>
      <c r="M34" s="25"/>
      <c r="N34" t="s">
        <v>25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322</v>
      </c>
      <c r="L35" s="1">
        <v>100000</v>
      </c>
      <c r="M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307</v>
      </c>
      <c r="L36" s="1">
        <v>80000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31" t="s">
        <v>308</v>
      </c>
      <c r="L37" s="1">
        <v>150000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309</v>
      </c>
      <c r="L38" s="1">
        <v>300000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310</v>
      </c>
      <c r="L39" s="1">
        <v>100000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311</v>
      </c>
      <c r="L40" s="1">
        <v>200000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18" t="s">
        <v>312</v>
      </c>
      <c r="L41" s="18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32" t="s">
        <v>313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314</v>
      </c>
      <c r="L43" s="1">
        <v>20000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316</v>
      </c>
      <c r="L44" s="1">
        <v>50000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317</v>
      </c>
      <c r="L45" s="1">
        <v>90000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318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328</v>
      </c>
      <c r="L47" s="1">
        <v>150000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319</v>
      </c>
      <c r="L48" s="1">
        <v>15000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320</v>
      </c>
      <c r="L49" s="1">
        <v>20000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321</v>
      </c>
      <c r="L50" s="1">
        <v>40000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323</v>
      </c>
      <c r="L51" s="1">
        <v>150000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325</v>
      </c>
      <c r="L52" s="1">
        <v>75000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315</v>
      </c>
      <c r="L53" s="1">
        <v>140000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2" t="s">
        <v>479</v>
      </c>
      <c r="L54" s="3">
        <v>830000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 t="s">
        <v>6</v>
      </c>
      <c r="L57" s="3">
        <f>SUM(L34:L55)</f>
        <v>3130000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329</v>
      </c>
      <c r="L58" s="3">
        <f>L57/30</f>
        <v>104333.33333333333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  <c r="K64" s="48" t="s">
        <v>800</v>
      </c>
      <c r="L64" s="48" t="s">
        <v>477</v>
      </c>
    </row>
    <row r="65" spans="1:12" x14ac:dyDescent="0.25">
      <c r="K65" s="48">
        <v>1200000</v>
      </c>
      <c r="L65" s="48" t="s">
        <v>1089</v>
      </c>
    </row>
    <row r="66" spans="1:12" x14ac:dyDescent="0.25">
      <c r="K66" s="47">
        <v>500000</v>
      </c>
      <c r="L66" s="48" t="s">
        <v>480</v>
      </c>
    </row>
    <row r="67" spans="1:12" x14ac:dyDescent="0.25">
      <c r="A67" t="s">
        <v>25</v>
      </c>
      <c r="K67" s="47">
        <v>130000</v>
      </c>
      <c r="L67" s="48" t="s">
        <v>559</v>
      </c>
    </row>
    <row r="68" spans="1:12" x14ac:dyDescent="0.25">
      <c r="K68" s="47">
        <v>300000</v>
      </c>
      <c r="L68" s="48" t="s">
        <v>796</v>
      </c>
    </row>
    <row r="69" spans="1:12" x14ac:dyDescent="0.25">
      <c r="K69" s="47">
        <v>500000</v>
      </c>
      <c r="L69" s="48" t="s">
        <v>797</v>
      </c>
    </row>
    <row r="70" spans="1:12" x14ac:dyDescent="0.25">
      <c r="K70" s="47">
        <v>500000</v>
      </c>
      <c r="L70" s="48" t="s">
        <v>798</v>
      </c>
    </row>
    <row r="71" spans="1:12" x14ac:dyDescent="0.25">
      <c r="K71" s="47">
        <v>75000</v>
      </c>
      <c r="L71" s="48" t="s">
        <v>799</v>
      </c>
    </row>
    <row r="72" spans="1:12" x14ac:dyDescent="0.25">
      <c r="K72" s="47">
        <v>450000</v>
      </c>
      <c r="L72" s="48" t="s">
        <v>801</v>
      </c>
    </row>
    <row r="73" spans="1:12" x14ac:dyDescent="0.25">
      <c r="K73" s="47">
        <v>500000</v>
      </c>
      <c r="L73" s="48" t="s">
        <v>565</v>
      </c>
    </row>
    <row r="74" spans="1:12" x14ac:dyDescent="0.25">
      <c r="K74" s="47">
        <v>50000</v>
      </c>
      <c r="L74" s="48" t="s">
        <v>804</v>
      </c>
    </row>
    <row r="75" spans="1:12" x14ac:dyDescent="0.25">
      <c r="K75" s="47">
        <v>140000</v>
      </c>
      <c r="L75" s="48" t="s">
        <v>315</v>
      </c>
    </row>
    <row r="76" spans="1:12" x14ac:dyDescent="0.25">
      <c r="K76" s="47"/>
      <c r="L76" s="48" t="s">
        <v>25</v>
      </c>
    </row>
    <row r="77" spans="1:12" x14ac:dyDescent="0.25">
      <c r="K77" s="47">
        <f>SUM(K65:K76)</f>
        <v>4345000</v>
      </c>
      <c r="L77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1083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2018-03-20T13:53:10Z</dcterms:modified>
</cp:coreProperties>
</file>