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4" activeTab="42"/>
  </bookViews>
  <sheets>
    <sheet name="AgentBased" sheetId="44" r:id="rId1"/>
    <sheet name="مهر97" sheetId="4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لیست خرید و فروش" sheetId="32" r:id="rId40"/>
    <sheet name="اوراق بدون ریسک" sheetId="33" r:id="rId41"/>
    <sheet name="نکات" sheetId="35" r:id="rId42"/>
    <sheet name="سکه" sheetId="36" r:id="rId43"/>
    <sheet name="apply" sheetId="37" r:id="rId44"/>
    <sheet name="بیمه" sheetId="39" r:id="rId45"/>
    <sheet name="آرشیو قیمت ارجینال" sheetId="40" r:id="rId46"/>
    <sheet name="تحلیل1" sheetId="41" r:id="rId47"/>
  </sheets>
  <calcPr calcId="145621"/>
</workbook>
</file>

<file path=xl/calcChain.xml><?xml version="1.0" encoding="utf-8"?>
<calcChain xmlns="http://schemas.openxmlformats.org/spreadsheetml/2006/main">
  <c r="C8" i="36" l="1"/>
  <c r="P45" i="18"/>
  <c r="Q45" i="18"/>
  <c r="N38" i="18"/>
  <c r="T16" i="49" l="1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D71" i="48"/>
  <c r="N37" i="18"/>
  <c r="AH83" i="18"/>
  <c r="N22" i="33"/>
  <c r="D22" i="33" s="1"/>
  <c r="K22" i="33" l="1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P20" i="18"/>
  <c r="N20" i="18" s="1"/>
  <c r="N36" i="18"/>
  <c r="P19" i="18"/>
  <c r="N19" i="18" s="1"/>
  <c r="R45" i="18" s="1"/>
  <c r="B263" i="15"/>
  <c r="Q20" i="49" l="1"/>
  <c r="P20" i="49" s="1"/>
  <c r="S18" i="49"/>
  <c r="R18" i="49" s="1"/>
  <c r="U19" i="49"/>
  <c r="T19" i="49" s="1"/>
  <c r="S33" i="18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N35" i="18"/>
  <c r="Q40" i="18" s="1"/>
  <c r="Q22" i="49" l="1"/>
  <c r="P22" i="49"/>
  <c r="U21" i="49"/>
  <c r="T21" i="49" s="1"/>
  <c r="S22" i="49"/>
  <c r="R22" i="49" s="1"/>
  <c r="S34" i="18"/>
  <c r="S35" i="18" s="1"/>
  <c r="S36" i="18" s="1"/>
  <c r="S37" i="18" s="1"/>
  <c r="S38" i="18" s="1"/>
  <c r="P34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AP24" i="18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N27" i="18"/>
  <c r="L25" i="18"/>
  <c r="K224" i="20" l="1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K223" i="20" s="1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23" i="20" l="1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4" i="18" l="1"/>
  <c r="AJ82" i="18" l="1"/>
  <c r="AP55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45" i="18"/>
  <c r="AJ76" i="18" l="1"/>
  <c r="AK77" i="18"/>
  <c r="AJ75" i="18" l="1"/>
  <c r="AK76" i="18"/>
  <c r="N33" i="18"/>
  <c r="AJ74" i="18" l="1"/>
  <c r="AK75" i="18"/>
  <c r="AH89" i="18"/>
  <c r="AH90" i="18" s="1"/>
  <c r="AJ73" i="18" l="1"/>
  <c r="AK74" i="18"/>
  <c r="U45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AK53" i="18" l="1"/>
  <c r="AJ52" i="18"/>
  <c r="B27" i="48"/>
  <c r="D2" i="48"/>
  <c r="I2" i="48" s="1"/>
  <c r="I28" i="48" s="1"/>
  <c r="G2" i="48"/>
  <c r="G28" i="48" s="1"/>
  <c r="H33" i="48" s="1"/>
  <c r="I2" i="46"/>
  <c r="I30" i="46" s="1"/>
  <c r="I35" i="46" s="1"/>
  <c r="H35" i="46"/>
  <c r="E32" i="14"/>
  <c r="G32" i="14" s="1"/>
  <c r="G33" i="14"/>
  <c r="D64" i="43"/>
  <c r="AJ51" i="18" l="1"/>
  <c r="AK52" i="18"/>
  <c r="I33" i="48"/>
  <c r="D27" i="48"/>
  <c r="E253" i="15"/>
  <c r="E252" i="15"/>
  <c r="AJ50" i="18" l="1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AL83" i="18" s="1"/>
  <c r="AH88" i="18" s="1"/>
  <c r="AH92" i="18" s="1"/>
  <c r="E173" i="13"/>
  <c r="G174" i="13"/>
  <c r="D238" i="15"/>
  <c r="F239" i="15"/>
  <c r="X720" i="41"/>
  <c r="U2123" i="41"/>
  <c r="AH91" i="18" l="1"/>
  <c r="E172" i="13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9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7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8" i="18" l="1"/>
  <c r="L47" i="18"/>
  <c r="E33" i="13"/>
  <c r="G34" i="13"/>
  <c r="I97" i="20"/>
  <c r="K97" i="20"/>
  <c r="J97" i="20"/>
  <c r="F108" i="15"/>
  <c r="C20" i="18"/>
  <c r="G20" i="14"/>
  <c r="G21" i="14"/>
  <c r="L49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<sst xmlns="http://schemas.openxmlformats.org/spreadsheetml/2006/main" count="9115" uniqueCount="4356">
  <si>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</si>
  <si>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</si>
  <si>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</si>
  <si>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</si>
  <si>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</si>
  <si>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</si>
  <si>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</si>
  <si>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</si>
  <si>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</si>
  <si>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</si>
  <si>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</si>
  <si>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</si>
  <si>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</si>
  <si>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</si>
  <si>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</si>
  <si>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</si>
  <si>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</si>
  <si>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</si>
  <si>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</si>
  <si>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</si>
  <si>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</si>
  <si>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</si>
  <si>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</si>
  <si>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</si>
  <si>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</si>
  <si>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</si>
  <si>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</si>
  <si>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</si>
  <si>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</si>
  <si>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</si>
  <si>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</si>
  <si>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</si>
  <si>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</si>
  <si>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</si>
  <si>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</si>
  <si>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</si>
  <si>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</si>
  <si>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</si>
  <si>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</si>
  <si>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</si>
  <si>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</si>
  <si>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</si>
  <si>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</si>
  <si>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</si>
  <si>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</si>
  <si>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</si>
  <si>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</si>
  <si>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</si>
  <si>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</si>
  <si>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</si>
  <si>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</si>
  <si>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</si>
  <si>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</si>
  <si>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</si>
  <si>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</si>
  <si>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</si>
  <si>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</si>
  <si>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</si>
  <si>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</si>
  <si>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</si>
  <si>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</si>
  <si>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</si>
  <si>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</si>
  <si>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</si>
  <si>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</si>
  <si>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</si>
  <si>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</si>
  <si>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</si>
  <si>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</si>
  <si>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</si>
  <si>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</si>
  <si>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</si>
  <si>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</si>
  <si>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</si>
  <si>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</si>
  <si>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</si>
  <si>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</si>
  <si>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</si>
  <si>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</si>
  <si>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</si>
  <si>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</si>
  <si>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</si>
  <si>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</si>
  <si>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</si>
  <si>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</si>
  <si>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</si>
  <si>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</si>
  <si>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</si>
  <si>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</si>
  <si>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</si>
  <si>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</si>
  <si>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</si>
  <si>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</si>
  <si>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</si>
  <si>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</si>
  <si>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</si>
  <si>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</si>
  <si>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</si>
  <si>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</si>
  <si>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</si>
  <si>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</si>
  <si>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</si>
  <si>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</si>
  <si>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</si>
  <si>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</si>
  <si>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</si>
  <si>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</si>
  <si>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</si>
  <si>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</si>
  <si>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</si>
  <si>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</si>
  <si>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</si>
  <si>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</si>
  <si>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</si>
  <si>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</si>
  <si>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</si>
  <si>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</si>
  <si>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</si>
  <si>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</si>
  <si>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</si>
  <si>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</si>
  <si>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</si>
  <si>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</si>
  <si>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</si>
  <si>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</si>
  <si>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</si>
  <si>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</si>
  <si>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</si>
  <si>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</si>
  <si>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</si>
  <si>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</si>
  <si>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</si>
  <si>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</si>
  <si>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</si>
  <si>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</si>
  <si>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</si>
  <si>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</si>
  <si>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</si>
  <si>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</si>
  <si>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</si>
  <si>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</si>
  <si>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</si>
  <si>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</si>
  <si>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</si>
  <si>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</si>
  <si>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</si>
  <si>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</si>
  <si>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</si>
  <si>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</si>
  <si>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</si>
  <si>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</si>
  <si>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</si>
  <si>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</si>
  <si>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</si>
  <si>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</si>
  <si>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</si>
  <si>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</si>
  <si>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</si>
  <si>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</si>
  <si>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</si>
  <si>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</si>
  <si>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</si>
  <si>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</si>
  <si>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</si>
  <si>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</si>
  <si>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</si>
  <si>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</si>
  <si>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</si>
  <si>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</si>
  <si>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</si>
  <si>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</si>
  <si>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</si>
  <si>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</si>
  <si>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</si>
  <si>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</si>
  <si>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</si>
  <si>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</si>
  <si>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</si>
  <si>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</si>
  <si>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</si>
  <si>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</si>
  <si>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</si>
  <si>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</si>
  <si>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</si>
  <si>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</si>
  <si>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</si>
  <si>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</si>
  <si>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</si>
  <si>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</si>
  <si>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</si>
  <si>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</si>
  <si>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</si>
  <si>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</si>
  <si>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</si>
  <si>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</si>
  <si>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</si>
  <si>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</si>
  <si>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</si>
  <si>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</si>
  <si>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</si>
  <si>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</si>
  <si>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</si>
  <si>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</si>
  <si>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</si>
  <si>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</si>
  <si>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</si>
  <si>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</si>
  <si>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</si>
  <si>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</si>
  <si>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</si>
  <si>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</si>
  <si>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</si>
  <si>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</si>
  <si>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</si>
  <si>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</si>
  <si>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</si>
  <si>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</si>
  <si>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</si>
  <si>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</si>
  <si>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</si>
  <si>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</si>
  <si>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</si>
  <si>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</si>
  <si>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</si>
  <si>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</si>
  <si>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</si>
  <si>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</si>
  <si>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</si>
  <si>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</si>
  <si>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</si>
  <si>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</si>
  <si>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</si>
  <si>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</si>
  <si>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</si>
  <si>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</si>
  <si>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</si>
  <si>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</si>
  <si>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</si>
  <si>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</si>
  <si>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</si>
  <si>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</si>
  <si>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</si>
  <si>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</si>
  <si>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</si>
  <si>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</si>
  <si>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</si>
  <si>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</si>
  <si>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</si>
  <si>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</si>
  <si>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</si>
  <si>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</si>
  <si>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</si>
  <si>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</si>
  <si>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</si>
  <si>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</si>
  <si>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</si>
  <si>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</si>
  <si>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</si>
  <si>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</si>
  <si>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</si>
  <si>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</si>
  <si>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</si>
  <si>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</si>
  <si>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</si>
  <si>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</si>
  <si>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</si>
  <si>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</si>
  <si>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</si>
  <si>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</si>
  <si>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</si>
  <si>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</si>
  <si>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</si>
  <si>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</si>
  <si>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</si>
  <si>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</si>
  <si>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</si>
  <si>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</si>
  <si>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</si>
  <si>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</si>
  <si>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</si>
  <si>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</si>
  <si>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</si>
  <si>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</si>
  <si>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</si>
  <si>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</si>
  <si>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</si>
  <si>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</si>
  <si>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</si>
  <si>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</si>
  <si>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</si>
  <si>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</si>
  <si>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</si>
  <si>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</si>
  <si>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</si>
  <si>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</si>
  <si>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</si>
  <si>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</si>
  <si>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</si>
  <si>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</si>
  <si>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</si>
  <si>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</si>
  <si>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</si>
  <si>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</si>
  <si>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</si>
  <si>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</si>
  <si>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</si>
  <si>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</si>
  <si>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</si>
  <si>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</si>
  <si>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</si>
  <si>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</si>
  <si>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</si>
  <si>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</si>
  <si>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</si>
  <si>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</si>
  <si>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</si>
  <si>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</si>
  <si>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</si>
  <si>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</si>
  <si>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</si>
  <si>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</si>
  <si>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</si>
  <si>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</si>
  <si>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</si>
  <si>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</si>
  <si>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</si>
  <si>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</si>
  <si>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</si>
  <si>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</si>
  <si>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</si>
  <si>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</si>
  <si>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</si>
  <si>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</si>
  <si>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</si>
  <si>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</si>
  <si>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</si>
  <si>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</si>
  <si>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</si>
  <si>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</si>
  <si>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</si>
  <si>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</si>
  <si>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</si>
  <si>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</si>
  <si>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</si>
  <si>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</si>
  <si>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</si>
  <si>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</si>
  <si>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</si>
  <si>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</si>
  <si>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</si>
  <si>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</si>
  <si>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</si>
  <si>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</si>
  <si>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</si>
  <si>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</si>
  <si>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</si>
  <si>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</si>
  <si>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</si>
  <si>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</si>
  <si>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</si>
  <si>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</si>
  <si>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</si>
  <si>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</si>
  <si>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</si>
  <si>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</si>
  <si>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</si>
  <si>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</si>
  <si>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</si>
  <si>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</si>
  <si>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</si>
  <si>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</si>
  <si>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</si>
  <si>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</si>
  <si>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</si>
  <si>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</si>
  <si>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</si>
  <si>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</si>
  <si>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</si>
  <si>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</si>
  <si>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</si>
  <si>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</si>
  <si>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</si>
  <si>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</si>
  <si>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</si>
  <si>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</si>
  <si>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</si>
  <si>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</si>
  <si>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</si>
  <si>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</si>
  <si>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</si>
  <si>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</si>
  <si>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</si>
  <si>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</si>
  <si>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</si>
  <si>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</si>
  <si>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</si>
  <si>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</si>
  <si>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</si>
  <si>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</si>
  <si>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</si>
  <si>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</si>
  <si>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</si>
  <si>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</si>
  <si>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</si>
  <si>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</si>
  <si>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</si>
  <si>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</si>
  <si>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</si>
  <si>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</si>
  <si>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</si>
  <si>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</si>
  <si>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</si>
  <si>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</si>
  <si>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</si>
  <si>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</si>
  <si>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</si>
  <si>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</si>
  <si>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</si>
  <si>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</si>
  <si>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</si>
  <si>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</si>
  <si>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</si>
  <si>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</si>
  <si>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</si>
  <si>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</si>
  <si>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</si>
  <si>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</si>
  <si>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</si>
  <si>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</si>
  <si>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</si>
  <si>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</si>
  <si>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</si>
  <si>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</si>
  <si>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</si>
  <si>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</si>
  <si>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</si>
  <si>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</si>
  <si>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</si>
  <si>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</si>
  <si>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</si>
  <si>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</si>
  <si>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</si>
  <si>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</si>
  <si>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</si>
  <si>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</si>
  <si>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</si>
  <si>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</si>
  <si>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</si>
  <si>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</si>
  <si>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</si>
  <si>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</si>
  <si>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</si>
  <si>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</si>
  <si>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</si>
  <si>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</si>
  <si>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</si>
  <si>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</si>
  <si>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</si>
  <si>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</si>
  <si>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</si>
  <si>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</si>
  <si>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</si>
  <si>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</si>
  <si>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</si>
  <si>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</si>
  <si>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</si>
  <si>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</si>
  <si>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</si>
  <si>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</si>
  <si>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</si>
  <si>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</si>
  <si>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</si>
  <si>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</si>
  <si>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</si>
  <si>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</si>
  <si>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</si>
  <si>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</si>
  <si>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</si>
  <si>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</si>
  <si>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</si>
  <si>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</si>
  <si>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</si>
  <si>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</si>
  <si>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</si>
  <si>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</si>
  <si>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</si>
  <si>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</si>
  <si>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</si>
  <si>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</si>
  <si>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</si>
  <si>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</si>
  <si>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</si>
  <si>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</si>
  <si>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</si>
  <si>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</si>
  <si>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</si>
  <si>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</si>
  <si>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</si>
  <si>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</si>
  <si>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</si>
  <si>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</si>
  <si>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</si>
  <si>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</si>
  <si>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</si>
  <si>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</si>
  <si>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</si>
  <si>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</si>
  <si>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</si>
  <si>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</si>
  <si>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</si>
  <si>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</si>
  <si>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</si>
  <si>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</si>
  <si>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</si>
  <si>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</si>
  <si>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</si>
  <si>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</si>
  <si>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</si>
  <si>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</si>
  <si>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</si>
  <si>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</si>
  <si>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</si>
  <si>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</si>
  <si>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</si>
  <si>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</si>
  <si>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</si>
  <si>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</si>
  <si>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</si>
  <si>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</si>
  <si>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</si>
  <si>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</si>
  <si>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</si>
  <si>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</si>
  <si>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</si>
  <si>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</si>
  <si>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</si>
  <si>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</si>
  <si>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</si>
  <si>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</si>
  <si>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</si>
  <si>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</si>
  <si>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</si>
  <si>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</si>
  <si>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</si>
  <si>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</si>
  <si>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</si>
  <si>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</si>
  <si>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</si>
  <si>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</si>
  <si>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</si>
  <si>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</si>
  <si>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</si>
  <si>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</si>
  <si>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</si>
  <si>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</si>
  <si>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</si>
  <si>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</si>
  <si>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</si>
  <si>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</si>
  <si>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</si>
  <si>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</si>
  <si>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</si>
  <si>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</si>
  <si>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</si>
  <si>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</si>
  <si>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</si>
  <si>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</si>
  <si>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</si>
  <si>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</si>
  <si>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</si>
  <si>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</si>
  <si>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</si>
  <si>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</si>
  <si>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</si>
  <si>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</si>
  <si>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</si>
  <si>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</si>
  <si>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</si>
  <si>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</si>
  <si>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</si>
  <si>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</si>
  <si>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</si>
  <si>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</si>
  <si>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</si>
  <si>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</si>
  <si>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</si>
  <si>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</si>
  <si>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</si>
  <si>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</si>
  <si>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</si>
  <si>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</si>
  <si>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</si>
  <si>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</si>
  <si>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</si>
  <si>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</si>
  <si>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</si>
  <si>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</si>
  <si>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</si>
  <si>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</si>
  <si>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</si>
  <si>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</si>
  <si>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</si>
  <si>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</si>
  <si>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</si>
  <si>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</si>
  <si>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</si>
  <si>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</si>
  <si>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</si>
  <si>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</si>
  <si>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</si>
  <si>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</si>
  <si>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</si>
  <si>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</si>
  <si>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</si>
  <si>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</si>
  <si>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</si>
  <si>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</si>
  <si>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</si>
  <si>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</si>
  <si>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</si>
  <si>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</si>
  <si>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</si>
  <si>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</si>
  <si>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</si>
  <si>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</si>
  <si>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</si>
  <si>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</si>
  <si>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</si>
  <si>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</si>
  <si>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</si>
  <si>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</si>
  <si>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</si>
  <si>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</si>
  <si>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</si>
  <si>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</si>
  <si>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</si>
  <si>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</si>
  <si>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</si>
  <si>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</si>
  <si>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</si>
  <si>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</si>
  <si>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</si>
  <si>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</si>
  <si>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</si>
  <si>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</si>
  <si>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</si>
  <si>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</si>
  <si>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</si>
  <si>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</si>
  <si>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</si>
  <si>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</si>
  <si>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</si>
  <si>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</si>
  <si>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</si>
  <si>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</si>
  <si>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</si>
  <si>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</si>
  <si>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</si>
  <si>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</si>
  <si>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</si>
  <si>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</si>
  <si>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</si>
  <si>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</si>
  <si>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</si>
  <si>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</si>
  <si>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</si>
  <si>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</si>
  <si>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</si>
  <si>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</si>
  <si>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</si>
  <si>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</si>
  <si>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</si>
  <si>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</si>
  <si>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</si>
  <si>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</si>
  <si>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</si>
  <si>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</si>
  <si>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</si>
  <si>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</si>
  <si>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</si>
  <si>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</si>
  <si>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</si>
  <si>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</si>
  <si>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</si>
  <si>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</si>
  <si>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</si>
  <si>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</si>
  <si>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</si>
  <si>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</si>
  <si>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</si>
  <si>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</si>
  <si>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</si>
  <si>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</si>
  <si>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</si>
  <si>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</si>
  <si>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</si>
  <si>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</si>
  <si>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</si>
  <si>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</si>
  <si>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</si>
  <si>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</si>
  <si>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</si>
  <si>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</si>
  <si>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</si>
  <si>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</si>
  <si>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</si>
  <si>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</si>
  <si>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</si>
  <si>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</si>
  <si>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</si>
  <si>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</si>
  <si>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</si>
  <si>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</si>
  <si>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</si>
  <si>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</si>
  <si>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</si>
  <si>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</si>
  <si>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</si>
  <si>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</si>
  <si>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</si>
  <si>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</si>
  <si>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</si>
  <si>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</si>
  <si>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</si>
  <si>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</si>
  <si>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</si>
  <si>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</si>
  <si>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</si>
  <si>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</si>
  <si>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</si>
  <si>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</si>
  <si>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</si>
  <si>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</si>
  <si>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</si>
  <si>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</si>
  <si>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</si>
  <si>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</si>
  <si>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</si>
  <si>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</si>
  <si>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</si>
  <si>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</si>
  <si>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</si>
  <si>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</si>
  <si>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</si>
  <si>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</si>
  <si>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</si>
  <si>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</si>
  <si>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</si>
  <si>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</si>
  <si>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</si>
  <si>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</si>
  <si>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</si>
  <si>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</si>
  <si>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</si>
  <si>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</si>
  <si>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</si>
  <si>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</si>
  <si>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</si>
  <si>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</si>
  <si>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</si>
  <si>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</si>
  <si>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</si>
  <si>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</si>
  <si>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</si>
  <si>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</si>
  <si>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</si>
  <si>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</si>
  <si>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</si>
  <si>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</si>
  <si>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</si>
  <si>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</si>
  <si>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</si>
  <si>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</si>
  <si>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</si>
  <si>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</si>
  <si>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</si>
  <si>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</si>
  <si>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</si>
  <si>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</si>
  <si>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</si>
  <si>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</si>
  <si>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</si>
  <si>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</si>
  <si>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</si>
  <si>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</si>
  <si>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</si>
  <si>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</si>
  <si>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</si>
  <si>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</si>
  <si>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</si>
  <si>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</si>
  <si>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</si>
  <si>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</si>
  <si>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</si>
  <si>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</si>
  <si>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</si>
  <si>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</si>
  <si>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</si>
  <si>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</si>
  <si>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</si>
  <si>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</si>
  <si>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</si>
  <si>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</si>
  <si>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</si>
  <si>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</si>
  <si>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</si>
  <si>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</si>
  <si>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</si>
  <si>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</si>
  <si>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</si>
  <si>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</si>
  <si>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</si>
  <si>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</si>
  <si>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</si>
  <si>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</si>
  <si>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</si>
  <si>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</si>
  <si>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</si>
  <si>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</si>
  <si>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</si>
  <si>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</si>
  <si>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</si>
  <si>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</si>
  <si>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</si>
  <si>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</si>
  <si>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</si>
  <si>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</si>
  <si>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</si>
  <si>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</si>
  <si>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</si>
  <si>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</si>
  <si>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</si>
  <si>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</si>
  <si>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</si>
  <si>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</si>
  <si>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</si>
  <si>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</si>
  <si>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</si>
  <si>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</si>
  <si>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</si>
  <si>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</si>
  <si>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</si>
  <si>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</si>
  <si>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</si>
  <si>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</si>
  <si>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</si>
  <si>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</si>
  <si>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</si>
  <si>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</si>
  <si>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</si>
  <si>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</si>
  <si>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</si>
  <si>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</si>
  <si>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</si>
  <si>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</si>
  <si>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</si>
  <si>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</si>
  <si>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</si>
  <si>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</si>
  <si>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</si>
  <si>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</si>
  <si>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</si>
  <si>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</si>
  <si>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</si>
  <si>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</si>
  <si>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</si>
  <si>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</si>
  <si>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</si>
  <si>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</si>
  <si>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</si>
  <si>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</si>
  <si>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</si>
  <si>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</si>
  <si>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</si>
  <si>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</si>
  <si>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</si>
  <si>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</si>
  <si>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</si>
  <si>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</si>
  <si>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</si>
  <si>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</si>
  <si>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</si>
  <si>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</si>
  <si>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</si>
  <si>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</si>
  <si>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</si>
  <si>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</si>
  <si>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</si>
  <si>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</si>
  <si>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</si>
  <si>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</si>
  <si>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</si>
  <si>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</si>
  <si>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</si>
  <si>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</si>
  <si>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</si>
  <si>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</si>
  <si>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</si>
  <si>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</si>
  <si>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</si>
  <si>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</si>
  <si>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</si>
  <si>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</si>
  <si>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</si>
  <si>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</si>
  <si>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</si>
  <si>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</si>
  <si>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</si>
  <si>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</si>
  <si>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</si>
  <si>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</si>
  <si>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</si>
  <si>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</si>
  <si>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</si>
  <si>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</si>
  <si>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</si>
  <si>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</si>
  <si>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</si>
  <si>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</si>
  <si>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</si>
  <si>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</si>
  <si>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</si>
  <si>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</si>
  <si>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</si>
  <si>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</si>
  <si>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</si>
  <si>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</si>
  <si>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</si>
  <si>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</si>
  <si>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</si>
  <si>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</si>
  <si>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</si>
  <si>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</si>
  <si>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</si>
  <si>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</si>
  <si>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</si>
  <si>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</si>
  <si>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</si>
  <si>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</si>
  <si>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</si>
  <si>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</si>
  <si>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</si>
  <si>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</si>
  <si>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</si>
  <si>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</si>
  <si>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</si>
  <si>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</si>
  <si>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</si>
  <si>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</si>
  <si>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</si>
  <si>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</si>
  <si>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</si>
  <si>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</si>
  <si>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</si>
  <si>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</si>
  <si>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</si>
  <si>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</si>
  <si>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</si>
  <si>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</si>
  <si>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</si>
  <si>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</si>
  <si>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</si>
  <si>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</si>
  <si>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</si>
  <si>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</si>
  <si>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</si>
  <si>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</si>
  <si>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</si>
  <si>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</si>
  <si>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</si>
  <si>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</si>
  <si>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</si>
  <si>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</si>
  <si>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</si>
  <si>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</si>
  <si>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</si>
  <si>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</si>
  <si>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</si>
  <si>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</si>
  <si>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</si>
  <si>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</si>
  <si>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</si>
  <si>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</si>
  <si>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</si>
  <si>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</si>
  <si>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</si>
  <si>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</si>
  <si>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</si>
  <si>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</si>
  <si>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</si>
  <si>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</si>
  <si>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</si>
  <si>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</si>
  <si>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</si>
  <si>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</si>
  <si>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</si>
  <si>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</si>
  <si>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</si>
  <si>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</si>
  <si>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</si>
  <si>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</si>
  <si>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</si>
  <si>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</si>
  <si>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</si>
  <si>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</si>
  <si>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</si>
  <si>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</si>
  <si>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</si>
  <si>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</si>
  <si>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</si>
  <si>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</si>
  <si>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</si>
  <si>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</si>
  <si>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</si>
  <si>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</si>
  <si>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</si>
  <si>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</si>
  <si>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</si>
  <si>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</si>
  <si>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</si>
  <si>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</si>
  <si>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</si>
  <si>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</si>
  <si>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</si>
  <si>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</si>
  <si>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</si>
  <si>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</si>
  <si>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</si>
  <si>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</si>
  <si>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</si>
  <si>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</si>
  <si>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</si>
  <si>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</si>
  <si>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</si>
  <si>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</si>
  <si>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</si>
  <si>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</si>
  <si>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</si>
  <si>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</si>
  <si>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</si>
  <si>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</si>
  <si>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</si>
  <si>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</si>
  <si>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</si>
  <si>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</si>
  <si>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</si>
  <si>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</si>
  <si>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</si>
  <si>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</si>
  <si>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</si>
  <si>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</si>
  <si>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</si>
  <si>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</si>
  <si>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</si>
  <si>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</si>
  <si>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</si>
  <si>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</si>
  <si>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</si>
  <si>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</si>
  <si>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</si>
  <si>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</si>
  <si>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</si>
  <si>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</si>
  <si>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</si>
  <si>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</si>
  <si>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</si>
  <si>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</si>
  <si>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</si>
  <si>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</si>
  <si>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</si>
  <si>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</si>
  <si>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</si>
  <si>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</si>
  <si>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</si>
  <si>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</si>
  <si>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</si>
  <si>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</si>
  <si>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</si>
  <si>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</si>
  <si>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</si>
  <si>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</si>
  <si>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</si>
  <si>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</si>
  <si>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</si>
  <si>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</si>
  <si>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</si>
  <si>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</si>
  <si>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</si>
  <si>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</si>
  <si>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</si>
  <si>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</si>
  <si>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</si>
  <si>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</si>
  <si>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</si>
  <si>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</si>
  <si>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</si>
  <si>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</si>
  <si>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</si>
  <si>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</si>
  <si>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</si>
  <si>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</si>
  <si>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</si>
  <si>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</si>
  <si>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</si>
  <si>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</si>
  <si>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</si>
  <si>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</si>
  <si>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</si>
  <si>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</si>
  <si>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</si>
  <si>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</si>
  <si>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</si>
  <si>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</si>
  <si>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</si>
  <si>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</si>
  <si>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</si>
  <si>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</si>
  <si>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</si>
  <si>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</si>
  <si>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</si>
  <si>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</si>
  <si>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</si>
  <si>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</si>
  <si>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</si>
  <si>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</si>
  <si>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</si>
  <si>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</si>
  <si>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</si>
  <si>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</si>
  <si>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</si>
  <si>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</si>
  <si>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</si>
  <si>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</si>
  <si>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</si>
  <si>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</si>
  <si>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</si>
  <si>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</si>
  <si>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</si>
  <si>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</si>
  <si>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</si>
  <si>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</si>
  <si>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</si>
  <si>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</si>
  <si>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</si>
  <si>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</si>
  <si>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</si>
  <si>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</si>
  <si>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</si>
  <si>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</si>
  <si>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</si>
  <si>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</si>
  <si>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</si>
  <si>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</si>
  <si>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</si>
  <si>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</si>
  <si>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</si>
  <si>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</si>
  <si>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</si>
  <si>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</si>
  <si>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</si>
  <si>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</si>
  <si>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</si>
  <si>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</si>
  <si>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</si>
  <si>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</si>
  <si>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</si>
  <si>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</si>
  <si>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</si>
  <si>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</si>
  <si>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</si>
  <si>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</si>
  <si>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</si>
  <si>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</si>
  <si>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</si>
  <si>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</si>
  <si>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</si>
  <si>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</si>
  <si>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</si>
  <si>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</si>
  <si>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</si>
  <si>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</si>
  <si>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</si>
  <si>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</si>
  <si>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</si>
  <si>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</si>
  <si>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</si>
  <si>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</si>
  <si>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</si>
  <si>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</si>
  <si>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</si>
  <si>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</si>
  <si>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</si>
  <si>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</si>
  <si>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</si>
  <si>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</si>
  <si>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</si>
  <si>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</si>
  <si>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</si>
  <si>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</si>
  <si>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</si>
  <si>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</si>
  <si>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</si>
  <si>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</si>
  <si>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</si>
  <si>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</si>
  <si>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</si>
  <si>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</si>
  <si>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</si>
  <si>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</si>
  <si>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</si>
  <si>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</si>
  <si>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</si>
  <si>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</si>
  <si>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</si>
  <si>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</si>
  <si>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</si>
  <si>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</si>
  <si>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</si>
  <si>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</si>
  <si>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</si>
  <si>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</si>
  <si>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</si>
  <si>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</si>
  <si>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</si>
  <si>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</si>
  <si>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</si>
  <si>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</si>
  <si>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</si>
  <si>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</si>
  <si>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</si>
  <si>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</si>
  <si>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</si>
  <si>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</si>
  <si>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</si>
  <si>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</si>
  <si>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</si>
  <si>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</si>
  <si>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</si>
  <si>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</si>
  <si>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</si>
  <si>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</si>
  <si>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</si>
  <si>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</si>
  <si>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</si>
  <si>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</si>
  <si>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</si>
  <si>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</si>
  <si>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</si>
  <si>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</si>
  <si>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</si>
  <si>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</si>
  <si>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</si>
  <si>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</si>
  <si>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</si>
  <si>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</si>
  <si>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</si>
  <si>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</si>
  <si>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</si>
  <si>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</si>
  <si>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</si>
  <si>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</si>
  <si>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</si>
  <si>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</si>
  <si>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</si>
  <si>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</si>
  <si>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</si>
  <si>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</si>
  <si>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</si>
  <si>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</si>
  <si>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</si>
  <si>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</si>
  <si>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</si>
  <si>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</si>
  <si>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</si>
  <si>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</si>
  <si>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</si>
  <si>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</si>
  <si>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</si>
  <si>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</si>
  <si>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</si>
  <si>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</si>
  <si>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</si>
  <si>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</si>
  <si>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</si>
  <si>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</si>
  <si>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</si>
  <si>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</si>
  <si>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</si>
  <si>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</si>
  <si>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</si>
  <si>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</si>
  <si>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</si>
  <si>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</si>
  <si>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</si>
  <si>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</si>
  <si>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</si>
  <si>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</si>
  <si>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</si>
  <si>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</si>
  <si>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</si>
  <si>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</si>
  <si>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</si>
  <si>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</si>
  <si>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</si>
  <si>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</si>
  <si>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</si>
  <si>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</si>
  <si>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</si>
  <si>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</si>
  <si>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</si>
  <si>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</si>
  <si>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</si>
  <si>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</si>
  <si>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</si>
  <si>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</si>
  <si>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</si>
  <si>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</si>
  <si>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</si>
  <si>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</si>
  <si>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</si>
  <si>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</si>
  <si>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</si>
  <si>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</si>
  <si>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</si>
  <si>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</si>
  <si>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</si>
  <si>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</si>
  <si>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</si>
  <si>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</si>
  <si>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</si>
  <si>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</si>
  <si>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</si>
  <si>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</si>
  <si>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</si>
  <si>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</si>
  <si>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</si>
  <si>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</si>
  <si>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</si>
  <si>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</si>
  <si>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</si>
  <si>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</si>
  <si>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</si>
  <si>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</si>
  <si>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</si>
  <si>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</si>
  <si>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</si>
  <si>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</si>
  <si>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</si>
  <si>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</si>
  <si>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</si>
  <si>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</si>
  <si>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</si>
  <si>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</si>
  <si>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</si>
  <si>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</si>
  <si>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</si>
  <si>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</si>
  <si>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</si>
  <si>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</si>
  <si>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</si>
  <si>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</si>
  <si>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</si>
  <si>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</si>
  <si>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</si>
  <si>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</si>
  <si>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</si>
  <si>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</si>
  <si>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</si>
  <si>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</si>
  <si>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</si>
  <si>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</si>
  <si>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</si>
  <si>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</si>
  <si>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</si>
  <si>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</si>
  <si>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</si>
  <si>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</si>
  <si>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</si>
  <si>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</si>
  <si>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</si>
  <si>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</si>
  <si>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</si>
  <si>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</si>
  <si>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</si>
  <si>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</si>
  <si>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</si>
  <si>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</si>
  <si>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</si>
  <si>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</si>
  <si>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</si>
  <si>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</si>
  <si>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</si>
  <si>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</si>
  <si>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</si>
  <si>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</si>
  <si>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</si>
  <si>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</si>
  <si>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</si>
  <si>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</si>
  <si>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</si>
  <si>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</si>
  <si>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</si>
  <si>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</si>
  <si>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</si>
  <si>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</si>
  <si>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</si>
  <si>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</si>
  <si>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</si>
  <si>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</si>
  <si>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</si>
  <si>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</si>
  <si>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</si>
  <si>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</si>
  <si>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</si>
  <si>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</si>
  <si>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</si>
  <si>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</si>
  <si>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</si>
  <si>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</si>
  <si>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</si>
  <si>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</si>
  <si>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</si>
  <si>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</si>
  <si>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</si>
  <si>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</si>
  <si>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</si>
  <si>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</si>
  <si>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</si>
  <si>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</si>
  <si>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</si>
  <si>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</si>
  <si>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</si>
  <si>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</si>
  <si>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</si>
  <si>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</si>
  <si>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</si>
  <si>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</si>
  <si>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</si>
  <si>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</si>
  <si>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</si>
  <si>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</si>
  <si>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</si>
  <si>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</si>
  <si>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</si>
  <si>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</si>
  <si>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</si>
  <si>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</si>
  <si>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</si>
  <si>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</si>
  <si>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</si>
  <si>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</si>
  <si>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</si>
  <si>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</si>
  <si>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</si>
  <si>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</si>
  <si>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</si>
  <si>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</si>
  <si>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</si>
  <si>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</si>
  <si>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</si>
  <si>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</si>
  <si>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</si>
  <si>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</si>
  <si>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</si>
  <si>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</si>
  <si>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</si>
  <si>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</si>
  <si>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</si>
  <si>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</si>
  <si>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</si>
  <si>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</si>
  <si>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</si>
  <si>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</si>
  <si>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</si>
  <si>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</si>
  <si>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</si>
  <si>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</si>
  <si>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</si>
  <si>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</si>
  <si>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</si>
  <si>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</si>
  <si>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</si>
  <si>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</si>
  <si>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</si>
  <si>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</si>
  <si>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</si>
  <si>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</si>
  <si>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</si>
  <si>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</si>
  <si>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</si>
  <si>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</si>
  <si>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</si>
  <si>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</si>
  <si>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</si>
  <si>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</si>
  <si>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</si>
  <si>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</si>
  <si>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</si>
  <si>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</si>
  <si>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</si>
  <si>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</si>
  <si>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</si>
  <si>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</si>
  <si>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</si>
  <si>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</si>
  <si>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</si>
  <si>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</si>
  <si>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</si>
  <si>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</si>
  <si>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</si>
  <si>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</si>
  <si>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</si>
  <si>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</si>
  <si>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</si>
  <si>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</si>
  <si>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</si>
  <si>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</si>
  <si>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</si>
  <si>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</si>
  <si>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</si>
  <si>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</si>
  <si>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</si>
  <si>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</si>
  <si>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</si>
  <si>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</si>
  <si>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</si>
  <si>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</si>
  <si>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</si>
  <si>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</si>
  <si>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</si>
  <si>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</si>
  <si>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</si>
  <si>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</si>
  <si>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</si>
  <si>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</si>
  <si>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</si>
  <si>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</si>
  <si>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</si>
  <si>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</si>
  <si>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</si>
  <si>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</si>
  <si>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</si>
  <si>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</si>
  <si>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</si>
  <si>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</si>
  <si>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</si>
  <si>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</si>
  <si>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</si>
  <si>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</si>
  <si>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</si>
  <si>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</si>
  <si>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</si>
  <si>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</si>
  <si>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</si>
  <si>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</si>
  <si>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</si>
  <si>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</si>
  <si>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</si>
  <si>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</si>
  <si>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</si>
  <si>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</si>
  <si>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</si>
  <si>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</si>
  <si>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</si>
  <si>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</si>
  <si>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</si>
  <si>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</si>
  <si>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</si>
  <si>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</si>
  <si>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</si>
  <si>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</si>
  <si>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</si>
  <si>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</si>
  <si>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</si>
  <si>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</si>
  <si>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</si>
  <si>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</si>
  <si>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</si>
  <si>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</si>
  <si>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</si>
  <si>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</si>
  <si>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</si>
  <si>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</si>
  <si>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</si>
  <si>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</si>
  <si>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</si>
  <si>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</si>
  <si>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</si>
  <si>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</si>
  <si>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</si>
  <si>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</si>
  <si>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</si>
  <si>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</si>
  <si>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</si>
  <si>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</si>
  <si>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</si>
  <si>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</si>
  <si>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</si>
  <si>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</si>
  <si>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</si>
  <si>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</si>
  <si>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</si>
  <si>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</si>
  <si>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</si>
  <si>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</si>
  <si>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</si>
  <si>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</si>
  <si>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</si>
  <si>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</si>
  <si>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</si>
  <si>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</si>
  <si>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</si>
  <si>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</si>
  <si>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</si>
  <si>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</si>
  <si>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</si>
  <si>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</si>
  <si>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</si>
  <si>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</si>
  <si>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</si>
  <si>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</si>
  <si>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</si>
  <si>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</si>
  <si>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</si>
  <si>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</si>
  <si>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</si>
  <si>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</si>
  <si>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</si>
  <si>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</si>
  <si>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</si>
  <si>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</si>
  <si>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</si>
  <si>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</si>
  <si>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</si>
  <si>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</si>
  <si>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</si>
  <si>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</si>
  <si>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</si>
  <si>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</si>
  <si>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</si>
  <si>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</si>
  <si>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</si>
  <si>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</si>
  <si>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</si>
  <si>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</si>
  <si>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</si>
  <si>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</si>
  <si>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</si>
  <si>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</si>
  <si>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</si>
  <si>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</si>
  <si>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</si>
  <si>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</si>
  <si>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</si>
  <si>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</si>
  <si>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</si>
  <si>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</si>
  <si>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</si>
  <si>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</si>
  <si>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</si>
  <si>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</si>
  <si>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</si>
  <si>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</si>
  <si>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</si>
  <si>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</si>
  <si>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</si>
  <si>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</si>
  <si>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</si>
  <si>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</si>
  <si>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</si>
  <si>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</si>
  <si>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</si>
  <si>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</si>
  <si>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</si>
  <si>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</si>
  <si>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</si>
  <si>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</si>
  <si>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</si>
  <si>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</si>
  <si>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</si>
  <si>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</si>
  <si>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</si>
  <si>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</si>
  <si>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</si>
  <si>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</si>
  <si>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</si>
  <si>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</si>
  <si>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</si>
  <si>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</si>
  <si>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</si>
  <si>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</si>
  <si>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</si>
  <si>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</si>
  <si>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</si>
  <si>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</si>
  <si>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</si>
  <si>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</si>
  <si>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</si>
  <si>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</si>
  <si>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</si>
  <si>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</si>
  <si>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</si>
  <si>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</si>
  <si>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</si>
  <si>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</si>
  <si>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</si>
  <si>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</si>
  <si>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</si>
  <si>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</si>
  <si>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</si>
  <si>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</si>
  <si>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</si>
  <si>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</si>
  <si>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</si>
  <si>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</si>
  <si>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</si>
  <si>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</si>
  <si>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</si>
  <si>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</si>
  <si>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</si>
  <si>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</si>
  <si>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</si>
  <si>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</si>
  <si>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</si>
  <si>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</si>
  <si>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</si>
  <si>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</si>
  <si>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</si>
  <si>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</si>
  <si>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</si>
  <si>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</si>
  <si>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</si>
  <si>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</si>
  <si>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</si>
  <si>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</si>
  <si>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</si>
  <si>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</si>
  <si>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</si>
  <si>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</si>
  <si>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</si>
  <si>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</si>
  <si>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</si>
  <si>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</si>
  <si>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</si>
  <si>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</si>
  <si>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</si>
  <si>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</si>
  <si>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</si>
  <si>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</si>
  <si>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</si>
  <si>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</si>
  <si>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</si>
  <si>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</si>
  <si>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</si>
  <si>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</si>
  <si>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</si>
  <si>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</si>
  <si>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</si>
  <si>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</si>
  <si>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</si>
  <si>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</si>
  <si>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</si>
  <si>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</si>
  <si>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</si>
  <si>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</si>
  <si>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</si>
  <si>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</si>
  <si>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</si>
  <si>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</si>
  <si>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</si>
  <si>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</si>
  <si>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</si>
  <si>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</si>
  <si>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</si>
  <si>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</si>
  <si>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</si>
  <si>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</si>
  <si>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</si>
  <si>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</si>
  <si>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</si>
  <si>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</si>
  <si>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</si>
  <si>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</si>
  <si>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</si>
  <si>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</si>
  <si>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</si>
  <si>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</si>
  <si>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</si>
  <si>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</si>
  <si>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</si>
  <si>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</si>
  <si>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</si>
  <si>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</si>
  <si>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</si>
  <si>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</si>
  <si>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</si>
  <si>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</si>
  <si>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</si>
  <si>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</si>
  <si>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</si>
  <si>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</si>
  <si>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</si>
  <si>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</si>
  <si>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</si>
  <si>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</si>
  <si>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</si>
  <si>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</si>
  <si>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</si>
  <si>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</si>
  <si>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</si>
  <si>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</si>
  <si>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</si>
  <si>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</si>
  <si>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</si>
  <si>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</si>
  <si>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</si>
  <si>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</si>
  <si>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</si>
  <si>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</si>
  <si>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</si>
  <si>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</si>
  <si>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</si>
  <si>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</si>
  <si>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</si>
  <si>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</si>
  <si>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</si>
  <si>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</si>
  <si>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</si>
  <si>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</si>
  <si>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</si>
  <si>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</si>
  <si>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</si>
  <si>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</si>
  <si>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</si>
  <si>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</si>
  <si>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</si>
  <si>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</si>
  <si>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</si>
  <si>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</si>
  <si>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</si>
  <si>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</si>
  <si>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</si>
  <si>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</si>
  <si>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</si>
  <si>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</si>
  <si>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</si>
  <si>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</si>
  <si>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</si>
  <si>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</si>
  <si>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</si>
  <si>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</si>
  <si>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</si>
  <si>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</si>
  <si>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</si>
  <si>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</si>
  <si>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</si>
  <si>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</si>
  <si>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</si>
  <si>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</si>
  <si>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</si>
  <si>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</si>
  <si>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</si>
  <si>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</si>
  <si>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</si>
  <si>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</si>
  <si>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</si>
  <si>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</si>
  <si>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</si>
  <si>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</si>
  <si>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</si>
  <si>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</si>
  <si>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</si>
  <si>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</si>
  <si>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</si>
  <si>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</si>
  <si>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</si>
  <si>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</si>
  <si>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</si>
  <si>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</si>
  <si>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</si>
  <si>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</si>
  <si>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</si>
  <si>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</si>
  <si>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</si>
  <si>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</si>
  <si>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</si>
  <si>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</si>
  <si>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</si>
  <si>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</si>
  <si>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</si>
  <si>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</si>
  <si>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</si>
  <si>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</si>
  <si>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</si>
  <si>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</si>
  <si>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</si>
  <si>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</si>
  <si>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</si>
  <si>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</si>
  <si>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</si>
  <si>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</si>
  <si>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</si>
  <si>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</si>
  <si>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</si>
  <si>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</si>
  <si>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</si>
  <si>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</si>
  <si>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</si>
  <si>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</si>
  <si>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</si>
  <si>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</si>
  <si>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</si>
  <si>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</si>
  <si>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</si>
  <si>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</si>
  <si>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</si>
  <si>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</si>
  <si>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</si>
  <si>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</si>
  <si>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</si>
  <si>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</si>
  <si>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</si>
  <si>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</si>
  <si>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</si>
  <si>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</si>
  <si>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</si>
  <si>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</si>
  <si>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</si>
  <si>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</si>
  <si>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</si>
  <si>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</si>
  <si>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</si>
  <si>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</si>
  <si>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</si>
  <si>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</si>
  <si>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</si>
  <si>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</si>
  <si>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</si>
  <si>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</si>
  <si>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</si>
  <si>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</si>
  <si>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</si>
  <si>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</si>
  <si>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</si>
  <si>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</si>
  <si>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</si>
  <si>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</si>
  <si>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</si>
  <si>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</si>
  <si>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</si>
  <si>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</si>
  <si>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</si>
  <si>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</si>
  <si>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</si>
  <si>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</si>
  <si>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</si>
  <si>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</si>
  <si>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</si>
  <si>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</si>
  <si>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</si>
  <si>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</si>
  <si>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</si>
  <si>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</si>
  <si>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</si>
  <si>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</si>
  <si>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</si>
  <si>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</si>
  <si>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</si>
  <si>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</si>
  <si>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</si>
  <si>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</si>
  <si>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</si>
  <si>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</si>
  <si>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</si>
  <si>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</si>
  <si>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</si>
  <si>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</si>
  <si>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</si>
  <si>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</si>
  <si>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</si>
  <si>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</si>
  <si>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</si>
  <si>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</si>
  <si>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</si>
  <si>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</si>
  <si>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</si>
  <si>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</si>
  <si>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</si>
  <si>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</si>
  <si>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</si>
  <si>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</si>
  <si>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</si>
  <si>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</si>
  <si>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</si>
  <si>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</si>
  <si>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</si>
  <si>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</si>
  <si>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</si>
  <si>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</si>
  <si>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</si>
  <si>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</si>
  <si>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</si>
  <si>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</si>
  <si>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</si>
  <si>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</si>
  <si>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</si>
  <si>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</si>
  <si>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</si>
  <si>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</si>
  <si>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</si>
  <si>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</si>
  <si>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</si>
  <si>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</si>
  <si>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</si>
  <si>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</si>
  <si>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</si>
  <si>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</si>
  <si>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</si>
  <si>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</si>
  <si>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</si>
  <si>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</si>
  <si>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</si>
  <si>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</si>
  <si>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</si>
  <si>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</si>
  <si>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</si>
  <si>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</si>
  <si>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</si>
  <si>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</si>
  <si>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</si>
  <si>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</si>
  <si>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</si>
  <si>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</si>
  <si>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</si>
  <si>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</si>
  <si>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</si>
  <si>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</si>
  <si>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</si>
  <si>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</si>
  <si>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</si>
  <si>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</si>
  <si>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</si>
  <si>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</si>
  <si>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</si>
  <si>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</si>
  <si>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</si>
  <si>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</si>
  <si>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</si>
  <si>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</si>
  <si>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</si>
  <si>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</si>
  <si>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</si>
  <si>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</si>
  <si>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</si>
  <si>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</si>
  <si>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</si>
  <si>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</si>
  <si>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</si>
  <si>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</si>
  <si>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</si>
  <si>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</si>
  <si>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</si>
  <si>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</si>
  <si>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</si>
  <si>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</si>
  <si>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</si>
  <si>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</si>
  <si>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</si>
  <si>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</si>
  <si>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</si>
  <si>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</si>
  <si>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</si>
  <si>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</si>
  <si>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</si>
  <si>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</si>
  <si>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</si>
  <si>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</si>
  <si>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</si>
  <si>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</si>
  <si>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</si>
  <si>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</si>
  <si>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</si>
  <si>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</si>
  <si>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</si>
  <si>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</si>
  <si>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</si>
  <si>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</si>
  <si>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</si>
  <si>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</si>
  <si>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</si>
  <si>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</si>
  <si>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</si>
  <si>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</si>
  <si>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</si>
  <si>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</si>
  <si>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</si>
  <si>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</si>
  <si>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</si>
  <si>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</si>
  <si>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</si>
  <si>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</si>
  <si>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</si>
  <si>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</si>
  <si>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</si>
  <si>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</si>
  <si>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</si>
  <si>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</si>
  <si>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</si>
  <si>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</si>
  <si>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</si>
  <si>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</si>
  <si>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</si>
  <si>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</si>
  <si>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</si>
  <si>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</si>
  <si>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</si>
  <si>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</si>
  <si>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</si>
  <si>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</si>
  <si>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</si>
  <si>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</si>
  <si>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</si>
  <si>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</si>
  <si>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</si>
  <si>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</si>
  <si>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</si>
  <si>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</si>
  <si>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</si>
  <si>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</si>
  <si>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</si>
  <si>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</si>
  <si>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</si>
  <si>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</si>
  <si>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</si>
  <si>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</si>
  <si>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</si>
  <si>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</si>
  <si>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</si>
  <si>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</si>
  <si>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</si>
  <si>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</si>
  <si>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</si>
  <si>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</si>
  <si>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</si>
  <si>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</si>
  <si>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</si>
  <si>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</si>
  <si>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</si>
  <si>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</si>
  <si>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</si>
  <si>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</si>
  <si>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</si>
  <si>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</si>
  <si>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</si>
  <si>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</si>
  <si>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</si>
  <si>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</si>
  <si>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</si>
  <si>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</si>
  <si>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</si>
  <si>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</si>
  <si>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</si>
  <si>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</si>
  <si>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</si>
  <si>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</si>
  <si>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</si>
  <si>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</si>
  <si>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</si>
  <si>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</si>
  <si>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</si>
  <si>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</si>
  <si>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</si>
  <si>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</si>
  <si>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</si>
  <si>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</si>
  <si>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</si>
  <si>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</si>
  <si>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</si>
  <si>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</si>
  <si>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</si>
  <si>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</si>
  <si>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</si>
  <si>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</si>
  <si>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</si>
  <si>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</si>
  <si>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</si>
  <si>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</si>
  <si>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</si>
  <si>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</si>
  <si>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</si>
  <si>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</si>
  <si>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</si>
  <si>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</si>
  <si>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</si>
  <si>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</si>
  <si>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</si>
  <si>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</si>
  <si>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</si>
  <si>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</si>
  <si>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</si>
  <si>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</si>
  <si>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</si>
  <si>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</si>
  <si>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</si>
  <si>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</si>
  <si>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</si>
  <si>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</si>
  <si>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</si>
  <si>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</si>
  <si>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</si>
  <si>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</si>
  <si>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</si>
  <si>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</si>
  <si>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</si>
  <si>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</si>
  <si>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</si>
  <si>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</si>
  <si>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</si>
  <si>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</si>
  <si>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</si>
  <si>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</si>
  <si>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</si>
  <si>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</si>
  <si>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</si>
  <si>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</si>
  <si>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</si>
  <si>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</si>
  <si>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</si>
  <si>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</si>
  <si>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</si>
  <si>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</si>
  <si>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</si>
  <si>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</si>
  <si>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</si>
  <si>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</si>
  <si>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</si>
  <si>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</si>
  <si>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</si>
  <si>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</si>
  <si>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</si>
  <si>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</si>
  <si>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</si>
  <si>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</si>
  <si>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</si>
  <si>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</si>
  <si>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</si>
  <si>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</si>
  <si>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</si>
  <si>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</si>
  <si>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</si>
  <si>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</si>
  <si>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</si>
  <si>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</si>
  <si>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</si>
  <si>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</si>
  <si>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</si>
  <si>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</si>
  <si>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</si>
  <si>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</si>
  <si>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</si>
  <si>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</si>
  <si>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</si>
  <si>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</si>
  <si>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</si>
  <si>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</si>
  <si>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</si>
  <si>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</si>
  <si>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</si>
  <si>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</si>
  <si>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</si>
  <si>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</si>
  <si>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</si>
  <si>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</si>
  <si>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</si>
  <si>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</si>
  <si>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</si>
  <si>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</si>
  <si>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</si>
  <si>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</si>
  <si>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</si>
  <si>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</si>
  <si>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</si>
  <si>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</si>
  <si>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</si>
  <si>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</si>
  <si>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</si>
  <si>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</si>
  <si>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</si>
  <si>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</si>
  <si>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</si>
  <si>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</si>
  <si>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</si>
  <si>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</si>
  <si>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</si>
  <si>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</si>
  <si>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</si>
  <si>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</si>
  <si>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</si>
  <si>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</si>
  <si>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</si>
  <si>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</si>
  <si>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</si>
  <si>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</si>
  <si>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</si>
  <si>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</si>
  <si>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</si>
  <si>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</si>
  <si>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</si>
  <si>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</si>
  <si>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</si>
  <si>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</si>
  <si>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</si>
  <si>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</si>
  <si>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</si>
  <si>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</si>
  <si>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</si>
  <si>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</si>
  <si>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</si>
  <si>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</si>
  <si>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</si>
  <si>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</si>
  <si>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</si>
  <si>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</si>
  <si>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</si>
  <si>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</si>
  <si>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</si>
  <si>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</si>
  <si>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</si>
  <si>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</si>
  <si>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</si>
  <si>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</si>
  <si>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</si>
  <si>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</si>
  <si>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</si>
  <si>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</si>
  <si>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</si>
  <si>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</si>
  <si>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</si>
  <si>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</si>
  <si>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</si>
  <si>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</si>
  <si>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</si>
  <si>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</si>
  <si>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</si>
  <si>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</si>
  <si>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</si>
  <si>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</si>
  <si>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</si>
  <si>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</si>
  <si>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</si>
  <si>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</si>
  <si>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</si>
  <si>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</si>
  <si>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</si>
  <si>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</si>
  <si>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</si>
  <si>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</si>
  <si>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</si>
  <si>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</si>
  <si>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</si>
  <si>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</si>
  <si>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</si>
  <si>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</si>
  <si>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</si>
  <si>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</si>
  <si>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</si>
  <si>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</si>
  <si>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</si>
  <si>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</si>
  <si>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</si>
  <si>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</si>
  <si>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</si>
  <si>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</si>
  <si>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</si>
  <si>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</si>
  <si>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</si>
  <si>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</si>
  <si>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</si>
  <si>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</si>
  <si>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</si>
  <si>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</si>
  <si>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</si>
  <si>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</si>
  <si>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</si>
  <si>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</si>
  <si>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</si>
  <si>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</si>
  <si>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</si>
  <si>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</si>
  <si>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</si>
  <si>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</si>
  <si>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</si>
  <si>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</si>
  <si>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</si>
  <si>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</si>
  <si>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</si>
  <si>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</si>
  <si>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</si>
  <si>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</si>
  <si>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</si>
  <si>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</si>
  <si>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</si>
  <si>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</si>
  <si>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</si>
  <si>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</si>
  <si>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</si>
  <si>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</si>
  <si>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</si>
  <si>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</si>
  <si>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</si>
  <si>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</si>
  <si>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</si>
  <si>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</si>
  <si>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</si>
  <si>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</si>
  <si>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</si>
  <si>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</si>
  <si>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</si>
  <si>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</si>
  <si>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</si>
  <si>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</si>
  <si>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</si>
  <si>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</si>
  <si>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</si>
  <si>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</si>
  <si>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</si>
  <si>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</si>
  <si>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</si>
  <si>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</si>
  <si>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</si>
  <si>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</si>
  <si>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</si>
  <si>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</si>
  <si>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</si>
  <si>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</si>
  <si>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</si>
  <si>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</si>
  <si>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</si>
  <si>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</si>
  <si>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</si>
  <si>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</si>
  <si>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</si>
  <si>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</si>
  <si>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</si>
  <si>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</si>
  <si>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</si>
  <si>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</si>
  <si>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</si>
  <si>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</si>
  <si>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</si>
  <si>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</si>
  <si>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</si>
  <si>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</si>
  <si>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</si>
  <si>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</si>
  <si>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</si>
  <si>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</si>
  <si>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</si>
  <si>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</si>
  <si>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</si>
  <si>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</si>
  <si>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</si>
  <si>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</si>
  <si>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</si>
  <si>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</si>
  <si>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</si>
  <si>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</si>
  <si>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</si>
  <si>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</si>
  <si>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</si>
  <si>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</si>
  <si>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</si>
  <si>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</si>
  <si>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</si>
  <si>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</si>
  <si>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</si>
  <si>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</si>
  <si>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</si>
  <si>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</si>
  <si>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</si>
  <si>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</si>
  <si>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</si>
  <si>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</si>
  <si>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</si>
  <si>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</si>
  <si>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</si>
  <si>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</si>
  <si>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</si>
  <si>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</si>
  <si>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</si>
  <si>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</si>
  <si>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</si>
  <si>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</si>
  <si>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</si>
  <si>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</si>
  <si>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</si>
  <si>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</si>
  <si>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</si>
  <si>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</si>
  <si>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</si>
  <si>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</si>
  <si>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</si>
  <si>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</si>
  <si>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</si>
  <si>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</si>
  <si>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</si>
  <si>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</si>
  <si>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</si>
  <si>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</si>
  <si>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</si>
  <si>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</si>
  <si>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</si>
  <si>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</si>
  <si>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</si>
  <si>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</si>
  <si>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</si>
  <si>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</si>
  <si>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</si>
  <si>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</si>
  <si>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</si>
  <si>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</si>
  <si>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</si>
  <si>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</si>
  <si>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</si>
  <si>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</si>
  <si>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</si>
  <si>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</si>
  <si>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</si>
  <si>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</si>
  <si>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</si>
  <si>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</si>
  <si>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</si>
  <si>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</si>
  <si>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</si>
  <si>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</si>
  <si>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</si>
  <si>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</si>
  <si>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</si>
  <si>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</si>
  <si>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</si>
  <si>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</si>
  <si>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</si>
  <si>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</si>
  <si>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</si>
  <si>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</si>
  <si>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</si>
  <si>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</si>
  <si>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</si>
  <si>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</si>
  <si>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</si>
  <si>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</si>
  <si>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</si>
  <si>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</si>
  <si>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</si>
  <si>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</si>
  <si>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</si>
  <si>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</si>
  <si>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</si>
  <si>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</si>
  <si>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</si>
  <si>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</si>
  <si>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</si>
  <si>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</si>
  <si>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</si>
  <si>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</si>
  <si>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</si>
  <si>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</si>
  <si>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</si>
  <si>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</si>
  <si>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</si>
  <si>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</si>
  <si>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</si>
  <si>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</si>
  <si>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</si>
  <si>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</si>
  <si>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</si>
  <si>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</si>
  <si>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</si>
  <si>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</si>
  <si>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</si>
  <si>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</si>
  <si>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</si>
  <si>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</si>
  <si>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</si>
  <si>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</si>
  <si>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</si>
  <si>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</si>
  <si>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</si>
  <si>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</si>
  <si>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</si>
  <si>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</si>
  <si>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</si>
  <si>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</si>
  <si>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</si>
  <si>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</si>
  <si>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</si>
  <si>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</si>
  <si>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</si>
  <si>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</si>
  <si>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</si>
  <si>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</si>
  <si>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</si>
  <si>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</si>
  <si>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</si>
  <si>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</si>
  <si>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</si>
  <si>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</si>
  <si>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</si>
  <si>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</si>
  <si>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</si>
  <si>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</si>
  <si>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</si>
  <si>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</si>
  <si>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</si>
  <si>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</si>
  <si>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</si>
  <si>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</si>
  <si>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</si>
  <si>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</si>
  <si>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</si>
  <si>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</si>
  <si>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</si>
  <si>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</si>
  <si>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</si>
  <si>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</si>
  <si>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</si>
  <si>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</si>
  <si>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</si>
  <si>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</si>
  <si>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</si>
  <si>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</si>
  <si>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</si>
  <si>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</si>
  <si>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</si>
  <si>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</si>
  <si>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</si>
  <si>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</si>
  <si>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</si>
  <si>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</si>
  <si>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</si>
  <si>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</si>
  <si>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</si>
  <si>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</si>
  <si>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</si>
  <si>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</si>
  <si>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</si>
  <si>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</si>
  <si>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</si>
  <si>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</si>
  <si>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</si>
  <si>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</si>
  <si>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</si>
  <si>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</si>
  <si>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</si>
  <si>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</si>
  <si>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</si>
  <si>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</si>
  <si>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</si>
  <si>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</si>
  <si>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</si>
  <si>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</si>
  <si>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</si>
  <si>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</si>
  <si>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</si>
  <si>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</si>
  <si>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</si>
  <si>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</si>
  <si>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</si>
  <si>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</si>
  <si>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</si>
  <si>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</si>
  <si>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</si>
  <si>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</si>
  <si>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</si>
  <si>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</si>
  <si>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</si>
  <si>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</si>
  <si>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</si>
  <si>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</si>
  <si>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</si>
  <si>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</si>
  <si>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</si>
  <si>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</si>
  <si>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</si>
  <si>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</si>
  <si>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</si>
  <si>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</si>
  <si>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</si>
  <si>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</si>
  <si>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</si>
  <si>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</si>
  <si>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</si>
  <si>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</si>
  <si>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</si>
  <si>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</si>
  <si>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</si>
  <si>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</si>
  <si>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</si>
  <si>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</si>
  <si>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</si>
  <si>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</si>
  <si>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</si>
  <si>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</si>
  <si>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</si>
  <si>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</si>
  <si>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</si>
  <si>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</si>
  <si>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</si>
  <si>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</si>
  <si>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</si>
  <si>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</si>
  <si>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</si>
  <si>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</si>
  <si>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</si>
  <si>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</si>
  <si>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</si>
  <si>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</si>
  <si>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</si>
  <si>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</si>
  <si>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</si>
  <si>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</si>
  <si>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</si>
  <si>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</si>
  <si>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</si>
  <si>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</si>
  <si>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</si>
  <si>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</si>
  <si>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</si>
  <si>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</si>
  <si>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</si>
  <si>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</si>
  <si>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</si>
  <si>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</si>
  <si>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</si>
  <si>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</si>
  <si>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</si>
  <si>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</si>
  <si>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</si>
  <si>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</si>
  <si>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</si>
  <si>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</si>
  <si>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</si>
  <si>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</si>
  <si>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</si>
  <si>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</si>
  <si>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</si>
  <si>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</si>
  <si>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</si>
  <si>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</si>
  <si>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</si>
  <si>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</si>
  <si>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</si>
  <si>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</si>
  <si>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</si>
  <si>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</si>
  <si>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</si>
  <si>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</si>
  <si>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</si>
  <si>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</si>
  <si>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</si>
  <si>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</si>
  <si>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</si>
  <si>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</si>
  <si>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</si>
  <si>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</si>
  <si>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</si>
  <si>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</si>
  <si>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</si>
  <si>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</si>
  <si>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</si>
  <si>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</si>
  <si>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</si>
  <si>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</si>
  <si>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</si>
  <si>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</si>
  <si>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</si>
  <si>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</si>
  <si>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</si>
  <si>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</si>
  <si>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</si>
  <si>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</si>
  <si>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</si>
  <si>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</si>
  <si>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</si>
  <si>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</si>
  <si>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</si>
  <si>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</si>
  <si>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</si>
  <si>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</si>
  <si>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</si>
  <si>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</si>
  <si>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</si>
  <si>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</si>
  <si>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</si>
  <si>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</si>
  <si>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</si>
  <si>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</si>
  <si>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</si>
  <si>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</si>
  <si>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</si>
  <si>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</si>
  <si>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</si>
  <si>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</si>
  <si>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</si>
  <si>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</si>
  <si>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</si>
  <si>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</si>
  <si>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</si>
  <si>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</si>
  <si>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</si>
  <si>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</si>
  <si>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</si>
  <si>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</si>
  <si>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</si>
  <si>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</si>
  <si>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</si>
  <si>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</si>
  <si>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</si>
  <si>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</si>
  <si>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</si>
  <si>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</si>
  <si>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</si>
  <si>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</si>
  <si>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</si>
  <si>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</si>
  <si>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</si>
  <si>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</si>
  <si>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</si>
  <si>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</si>
  <si>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</si>
  <si>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</si>
  <si>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</si>
  <si>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</si>
  <si>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</si>
  <si>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</si>
  <si>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</si>
  <si>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</si>
  <si>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</si>
  <si>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</si>
  <si>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</si>
  <si>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</si>
  <si>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</si>
  <si>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</si>
  <si>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</si>
  <si>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</si>
  <si>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</si>
  <si>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</si>
  <si>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</si>
  <si>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</si>
  <si>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</si>
  <si>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</si>
  <si>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</si>
  <si>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</si>
  <si>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</si>
  <si>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</si>
  <si>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</si>
  <si>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</si>
  <si>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</si>
  <si>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</si>
  <si>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</si>
  <si>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</si>
  <si>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</si>
  <si>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</si>
  <si>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</si>
  <si>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</si>
  <si>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</si>
  <si>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</si>
  <si>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</si>
  <si>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</si>
  <si>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</si>
  <si>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</si>
  <si>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</si>
  <si>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</si>
  <si>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</si>
  <si>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</si>
  <si>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</si>
  <si>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</si>
  <si>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</si>
  <si>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</si>
  <si>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</si>
  <si>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</si>
  <si>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</si>
  <si>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</si>
  <si>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</si>
  <si>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</si>
  <si>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</si>
  <si>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</si>
  <si>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</si>
  <si>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</si>
  <si>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</si>
  <si>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</si>
  <si>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</si>
  <si>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</si>
  <si>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</si>
  <si>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</si>
  <si>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</si>
  <si>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</si>
  <si>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</si>
  <si>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</si>
  <si>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</si>
  <si>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</si>
  <si>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</si>
  <si>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</si>
  <si>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</si>
  <si>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</si>
  <si>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</si>
  <si>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</si>
  <si>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</si>
  <si>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</si>
  <si>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</si>
  <si>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</si>
  <si>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</si>
  <si>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</si>
  <si>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</si>
  <si>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</si>
  <si>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</si>
  <si>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</si>
  <si>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</si>
  <si>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</si>
  <si>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</si>
  <si>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</si>
  <si>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</si>
  <si>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</si>
  <si>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</si>
  <si>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</si>
  <si>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</si>
  <si>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</si>
  <si>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</si>
  <si>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</si>
  <si>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</si>
  <si>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</si>
  <si>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</si>
  <si>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</si>
  <si>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</si>
  <si>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</si>
  <si>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</si>
  <si>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</si>
  <si>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</si>
  <si>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</si>
  <si>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</si>
  <si>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</si>
  <si>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</si>
  <si>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</si>
  <si>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</si>
  <si>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</si>
  <si>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</si>
  <si>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</si>
  <si>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</si>
  <si>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</si>
  <si>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</si>
  <si>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</si>
  <si>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</si>
  <si>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</si>
  <si>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</si>
  <si>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</si>
  <si>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</si>
  <si>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</si>
  <si>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</si>
  <si>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</si>
  <si>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</si>
  <si>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</si>
  <si>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</si>
  <si>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</si>
  <si>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</si>
  <si>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</si>
  <si>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</si>
  <si>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</si>
  <si>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</si>
  <si>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</si>
  <si>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</si>
  <si>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</si>
  <si>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</si>
  <si>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</si>
  <si>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</si>
  <si>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</si>
  <si>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</si>
  <si>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</si>
  <si>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</si>
  <si>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</si>
  <si>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</si>
  <si>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</si>
  <si>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</si>
  <si>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</si>
  <si>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</si>
  <si>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</si>
  <si>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</si>
  <si>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</si>
  <si>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</si>
  <si>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</si>
  <si>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</si>
  <si>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</si>
  <si>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</si>
  <si>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</si>
  <si>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</si>
  <si>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</si>
  <si>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</si>
  <si>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</si>
  <si>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</si>
  <si>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</si>
  <si>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</si>
  <si>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</si>
  <si>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</si>
  <si>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</si>
  <si>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</si>
  <si>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</si>
  <si>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</si>
  <si>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</si>
  <si>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</si>
  <si>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</si>
  <si>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</si>
  <si>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</si>
  <si>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</si>
  <si>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</si>
  <si>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</si>
  <si>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</si>
  <si>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</si>
  <si>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</si>
  <si>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</si>
  <si>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</si>
  <si>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</si>
  <si>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</si>
  <si>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</si>
  <si>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</si>
  <si>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</si>
  <si>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</si>
  <si>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</si>
  <si>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</si>
  <si>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</si>
  <si>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</si>
  <si>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</si>
  <si>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</si>
  <si>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</si>
  <si>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</si>
  <si>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</si>
  <si>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</si>
  <si>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</si>
  <si>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</si>
  <si>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</si>
  <si>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</si>
  <si>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</si>
  <si>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</si>
  <si>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</si>
  <si>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</si>
  <si>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</si>
  <si>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</si>
  <si>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</si>
  <si>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</si>
  <si>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</si>
  <si>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</si>
  <si>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</si>
  <si>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</si>
  <si>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</si>
  <si>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</si>
  <si>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</si>
  <si>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</si>
  <si>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</si>
  <si>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</si>
  <si>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</si>
  <si>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</si>
  <si>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</si>
  <si>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</si>
  <si>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</si>
  <si>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</si>
  <si>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</si>
  <si>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</si>
  <si>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</si>
  <si>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</si>
  <si>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</si>
  <si>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</si>
  <si>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</si>
  <si>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</si>
  <si>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</si>
  <si>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</si>
  <si>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</si>
  <si>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</si>
  <si>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</si>
  <si>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</si>
  <si>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</si>
  <si>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</si>
  <si>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</si>
  <si>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</si>
  <si>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</si>
  <si>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</si>
  <si>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</si>
  <si>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</si>
  <si>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</si>
  <si>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</si>
  <si>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</si>
  <si>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</si>
  <si>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</si>
  <si>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</si>
  <si>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</si>
  <si>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</si>
  <si>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</si>
  <si>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</si>
  <si>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</si>
  <si>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</si>
  <si>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</si>
  <si>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</si>
  <si>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</si>
  <si>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</si>
  <si>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</si>
  <si>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</si>
  <si>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</si>
  <si>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</si>
  <si>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</si>
  <si>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</si>
  <si>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</si>
  <si>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</si>
  <si>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</si>
  <si>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</si>
  <si>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</si>
  <si>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</si>
  <si>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</si>
  <si>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</si>
  <si>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</si>
  <si>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</si>
  <si>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</si>
  <si>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</si>
  <si>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</si>
  <si>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</si>
  <si>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</si>
  <si>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</si>
  <si>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</si>
  <si>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</si>
  <si>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</si>
  <si>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</si>
  <si>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</si>
  <si>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</si>
  <si>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</si>
  <si>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</si>
  <si>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</si>
  <si>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</si>
  <si>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</si>
  <si>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</si>
  <si>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</si>
  <si>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</si>
  <si>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</si>
  <si>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</si>
  <si>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</si>
  <si>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</si>
  <si>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</si>
  <si>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</si>
  <si>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</si>
  <si>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</si>
  <si>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</si>
  <si>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</si>
  <si>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</si>
  <si>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</si>
  <si>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</si>
  <si>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</si>
  <si>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</si>
  <si>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</si>
  <si>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</si>
  <si>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</si>
  <si>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</si>
  <si>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</si>
  <si>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</si>
  <si>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</si>
  <si>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</si>
  <si>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</si>
  <si>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</si>
  <si>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</si>
  <si>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</si>
  <si>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</si>
  <si>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</si>
  <si>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</si>
  <si>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</si>
  <si>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</si>
  <si>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</si>
  <si>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</si>
  <si>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</si>
  <si>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</si>
  <si>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</si>
  <si>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</si>
  <si>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</si>
  <si>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</si>
  <si>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</si>
  <si>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</si>
  <si>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</si>
  <si>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</si>
  <si>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</si>
  <si>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</si>
  <si>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</si>
  <si>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</si>
  <si>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</si>
  <si>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</si>
  <si>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</si>
  <si>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</si>
  <si>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</si>
  <si>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</si>
  <si>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</si>
  <si>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</si>
  <si>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</si>
  <si>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</si>
  <si>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</si>
  <si>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</si>
  <si>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</si>
  <si>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</si>
  <si>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</si>
  <si>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</si>
  <si>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</si>
  <si>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</si>
  <si>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</si>
  <si>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</si>
  <si>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</si>
  <si>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</si>
  <si>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</si>
  <si>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</si>
  <si>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</si>
  <si>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</si>
  <si>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</si>
  <si>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</si>
  <si>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</si>
  <si>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</si>
  <si>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</si>
  <si>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</si>
  <si>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</si>
  <si>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</si>
  <si>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</si>
  <si>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</si>
  <si>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</si>
  <si>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</si>
  <si>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</si>
  <si>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</si>
  <si>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</si>
  <si>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</si>
  <si>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</si>
  <si>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</si>
  <si>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</si>
  <si>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</si>
  <si>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</si>
  <si>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</si>
  <si>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</si>
  <si>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</si>
  <si>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</si>
  <si>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</si>
  <si>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</si>
  <si>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</si>
  <si>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</si>
  <si>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</si>
  <si>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</si>
  <si>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</si>
  <si>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</si>
  <si>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</si>
  <si>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</si>
  <si>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</si>
  <si>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</si>
  <si>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</si>
  <si>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</si>
  <si>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</si>
  <si>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</si>
  <si>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</si>
  <si>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</si>
  <si>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</si>
  <si>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</si>
  <si>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</si>
  <si>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</si>
  <si>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</si>
  <si>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</si>
  <si>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</si>
  <si>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</si>
  <si>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</si>
  <si>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</si>
  <si>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</si>
  <si>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</si>
  <si>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</si>
  <si>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</si>
  <si>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</si>
  <si>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</si>
  <si>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</si>
  <si>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</si>
  <si>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</si>
  <si>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</si>
  <si>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</si>
  <si>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</si>
  <si>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</si>
  <si>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</si>
  <si>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</si>
  <si>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</si>
  <si>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</si>
  <si>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</si>
  <si>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</si>
  <si>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</si>
  <si>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</si>
  <si>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</si>
  <si>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</si>
  <si>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</si>
  <si>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</si>
  <si>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</si>
  <si>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</si>
  <si>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</si>
  <si>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</si>
  <si>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</si>
  <si>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</si>
  <si>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</si>
  <si>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</si>
  <si>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</si>
  <si>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</si>
  <si>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</si>
  <si>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</si>
  <si>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</si>
  <si>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</si>
  <si>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</si>
  <si>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</si>
  <si>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</si>
  <si>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</si>
  <si>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</si>
  <si>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</si>
  <si>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</si>
  <si>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</si>
  <si>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</si>
  <si>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</si>
  <si>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</si>
  <si>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</si>
  <si>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</si>
  <si>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</si>
  <si>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</si>
  <si>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</si>
  <si>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</si>
  <si>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</si>
  <si>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</si>
  <si>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</si>
  <si>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</si>
  <si>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</si>
  <si>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</si>
  <si>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</si>
  <si>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</si>
  <si>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</si>
  <si>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</si>
  <si>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</si>
  <si>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</si>
  <si>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</si>
  <si>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</si>
  <si>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</si>
  <si>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</si>
  <si>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</si>
  <si>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</si>
  <si>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</si>
  <si>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</si>
  <si>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</si>
  <si>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</si>
  <si>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</si>
  <si>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</si>
  <si>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</si>
  <si>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</si>
  <si>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</si>
  <si>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</si>
  <si>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</si>
  <si>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</si>
  <si>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</si>
  <si>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</si>
  <si>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</si>
  <si>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</si>
  <si>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</si>
  <si>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</si>
  <si>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</si>
  <si>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</si>
  <si>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</si>
  <si>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</si>
  <si>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</si>
  <si>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</si>
  <si>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</si>
  <si>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</si>
  <si>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</si>
  <si>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</si>
  <si>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</si>
  <si>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</si>
  <si>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</si>
  <si>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</si>
  <si>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</si>
  <si>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</si>
  <si>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</si>
  <si>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</si>
  <si>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</si>
  <si>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</si>
  <si>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</si>
  <si>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</si>
  <si>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</si>
  <si>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</si>
  <si>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</si>
  <si>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</si>
  <si>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</si>
  <si>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</si>
  <si>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</si>
  <si>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</si>
  <si>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</si>
  <si>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</si>
  <si>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</si>
  <si>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</si>
  <si>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</si>
  <si>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</si>
  <si>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</si>
  <si>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</si>
  <si>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</si>
  <si>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</si>
  <si>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</si>
  <si>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</si>
  <si>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</si>
  <si>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</si>
  <si>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</si>
  <si>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</si>
  <si>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</si>
  <si>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</si>
  <si>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</si>
  <si>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</si>
  <si>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</si>
  <si>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</si>
  <si>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</si>
  <si>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</si>
  <si>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</si>
  <si>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</si>
  <si>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</si>
  <si>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</si>
  <si>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</si>
  <si>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</si>
  <si>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</si>
  <si>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</si>
  <si>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</si>
  <si>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</si>
  <si>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</si>
  <si>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</si>
  <si>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</si>
  <si>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</si>
  <si>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</si>
  <si>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</si>
  <si>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</si>
  <si>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</si>
  <si>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</si>
  <si>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</si>
  <si>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</si>
  <si>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</si>
  <si>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</si>
  <si>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</si>
  <si>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</si>
  <si>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</si>
  <si>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</si>
  <si>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</si>
  <si>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</si>
  <si>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</si>
  <si>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</si>
  <si>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</si>
  <si>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</si>
  <si>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</si>
  <si>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</si>
  <si>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</si>
  <si>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</si>
  <si>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</si>
  <si>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</si>
  <si>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</si>
  <si>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</si>
  <si>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</si>
  <si>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</si>
  <si>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</si>
  <si>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</si>
  <si>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</si>
  <si>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</si>
  <si>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</si>
  <si>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</si>
  <si>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</si>
  <si>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</si>
  <si>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</si>
  <si>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</si>
  <si>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</si>
  <si>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</si>
  <si>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</si>
  <si>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</si>
  <si>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</si>
  <si>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</si>
  <si>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</si>
  <si>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</si>
  <si>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</si>
  <si>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</si>
  <si>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</si>
  <si>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</si>
  <si>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</si>
  <si>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</si>
  <si>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</si>
  <si>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</si>
  <si>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</si>
  <si>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</si>
  <si>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</si>
  <si>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</si>
  <si>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</si>
  <si>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</si>
  <si>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</si>
  <si>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</si>
  <si>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</si>
  <si>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</si>
  <si>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</si>
  <si>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</si>
  <si>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</si>
  <si>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</si>
  <si>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</si>
  <si>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</si>
  <si>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</si>
  <si>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</si>
  <si>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</si>
  <si>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</si>
  <si>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</si>
  <si>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</si>
  <si>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</si>
  <si>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</si>
  <si>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</si>
  <si>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</si>
  <si>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</si>
  <si>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</si>
  <si>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</si>
  <si>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</si>
  <si>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</si>
  <si>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</si>
  <si>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</si>
  <si>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</si>
  <si>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</si>
  <si>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</si>
  <si>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</si>
  <si>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</si>
  <si>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</si>
  <si>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</si>
  <si>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</si>
  <si>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</si>
  <si>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</si>
  <si>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</si>
  <si>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</si>
  <si>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</si>
  <si>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</si>
  <si>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</si>
  <si>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</si>
  <si>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</si>
  <si>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</si>
  <si>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</si>
  <si>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</si>
  <si>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</si>
  <si>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</si>
  <si>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</si>
  <si>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</si>
  <si>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</si>
  <si>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</si>
  <si>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</si>
  <si>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</si>
  <si>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</si>
  <si>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</si>
  <si>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</si>
  <si>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</si>
  <si>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</si>
  <si>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</si>
  <si>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</si>
  <si>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</si>
  <si>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</si>
  <si>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</si>
  <si>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</si>
  <si>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</si>
  <si>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</si>
  <si>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</si>
  <si>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</si>
  <si>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</si>
  <si>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</si>
  <si>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</si>
  <si>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</si>
  <si>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</si>
  <si>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</si>
  <si>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</si>
  <si>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</si>
  <si>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</si>
  <si>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</si>
  <si>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</si>
  <si>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</si>
  <si>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</si>
  <si>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</si>
  <si>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</si>
  <si>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</si>
  <si>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</si>
  <si>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</si>
  <si>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</si>
  <si>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</si>
  <si>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</si>
  <si>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</si>
  <si>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</si>
  <si>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</si>
  <si>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</si>
  <si>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</si>
  <si>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</si>
  <si>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</si>
  <si>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</si>
  <si>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</si>
  <si>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</si>
  <si>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</si>
  <si>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</si>
  <si>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</si>
  <si>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</si>
  <si>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</si>
  <si>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</si>
  <si>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</si>
  <si>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</si>
  <si>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</si>
  <si>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</si>
  <si>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</si>
  <si>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</si>
  <si>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</si>
  <si>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</si>
  <si>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</si>
  <si>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</si>
  <si>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</si>
  <si>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</si>
  <si>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</si>
  <si>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</si>
  <si>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</si>
  <si>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</si>
  <si>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</si>
  <si>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</si>
  <si>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</si>
  <si>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</si>
  <si>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</si>
  <si>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</si>
  <si>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</si>
  <si>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</si>
  <si>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</si>
  <si>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</si>
  <si>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</si>
  <si>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</si>
  <si>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</si>
  <si>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</si>
  <si>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</si>
  <si>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</si>
  <si>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</si>
  <si>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</si>
  <si>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</si>
  <si>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</si>
  <si>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</si>
  <si>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</si>
  <si>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</si>
  <si>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</si>
  <si>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</si>
  <si>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</si>
  <si>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</si>
  <si>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</si>
  <si>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</si>
  <si>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</si>
  <si>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</si>
  <si>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</si>
  <si>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</si>
  <si>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</si>
  <si>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</si>
  <si>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</si>
  <si>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</si>
  <si>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</si>
  <si>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</si>
  <si>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</si>
  <si>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</si>
  <si>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</si>
  <si>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</si>
  <si>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</si>
  <si>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</si>
  <si>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</si>
  <si>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</si>
  <si>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</si>
  <si>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</si>
  <si>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</si>
  <si>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</si>
  <si>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</si>
  <si>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</si>
  <si>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</si>
  <si>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</si>
  <si>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</si>
  <si>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</si>
  <si>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</si>
  <si>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</si>
  <si>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</si>
  <si>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</si>
  <si>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</si>
  <si>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</si>
  <si>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</si>
  <si>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</si>
  <si>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</si>
  <si>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</si>
  <si>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</si>
  <si>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</si>
  <si>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</si>
  <si>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</si>
  <si>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</si>
  <si>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</si>
  <si>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</si>
  <si>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</si>
  <si>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</si>
  <si>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</si>
  <si>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</si>
  <si>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</si>
  <si>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</si>
  <si>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</si>
  <si>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</si>
  <si>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</si>
  <si>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</si>
  <si>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</si>
  <si>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</si>
  <si>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</si>
  <si>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</si>
  <si>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</si>
  <si>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</si>
  <si>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</si>
  <si>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</si>
  <si>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</si>
  <si>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</si>
  <si>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</si>
  <si>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</si>
  <si>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</si>
  <si>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</si>
  <si>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</si>
  <si>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</si>
  <si>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</si>
  <si>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</si>
  <si>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</si>
  <si>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</si>
  <si>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</si>
  <si>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</si>
  <si>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</si>
  <si>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</si>
  <si>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</si>
  <si>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</si>
  <si>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</si>
  <si>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</si>
  <si>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</si>
  <si>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</si>
  <si>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</si>
  <si>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</si>
  <si>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</si>
  <si>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</si>
  <si>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</si>
  <si>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</si>
  <si>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</si>
  <si>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</si>
  <si>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</si>
  <si>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</si>
  <si>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</si>
  <si>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</si>
  <si>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</si>
  <si>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</si>
  <si>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</si>
  <si>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</si>
  <si>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</si>
  <si>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</si>
  <si>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</si>
  <si>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</si>
  <si>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</si>
  <si>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</si>
  <si>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</si>
  <si>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</si>
  <si>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</si>
  <si>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</si>
  <si>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</si>
  <si>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</si>
  <si>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</si>
  <si>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</si>
  <si>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</si>
  <si>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</si>
  <si>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</si>
  <si>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</si>
  <si>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</si>
  <si>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</si>
  <si>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</si>
  <si>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</si>
  <si>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</si>
  <si>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</si>
  <si>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</si>
  <si>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</si>
  <si>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</si>
  <si>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</si>
  <si>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</si>
  <si>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</si>
  <si>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</si>
  <si>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</si>
  <si>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</si>
  <si>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</si>
  <si>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</si>
  <si>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</si>
  <si>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</si>
  <si>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</si>
  <si>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</si>
  <si>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</si>
  <si>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</si>
  <si>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</si>
  <si>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</si>
  <si>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</si>
  <si>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</si>
  <si>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</si>
  <si>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</si>
  <si>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</si>
  <si>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</si>
  <si>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</si>
  <si>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</si>
  <si>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</si>
  <si>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</si>
  <si>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</si>
  <si>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</si>
  <si>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</si>
  <si>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</si>
  <si>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</si>
  <si>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</si>
  <si>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</si>
  <si>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</si>
  <si>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</si>
  <si>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</si>
  <si>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</si>
  <si>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</si>
  <si>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</si>
  <si>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</si>
  <si>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</si>
  <si>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</si>
  <si>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</si>
  <si>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</si>
  <si>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</si>
  <si>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</si>
  <si>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</si>
  <si>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</si>
  <si>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</si>
  <si>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</si>
  <si>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</si>
  <si>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</si>
  <si>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</si>
  <si>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</si>
  <si>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</si>
  <si>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</si>
  <si>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</si>
  <si>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</si>
  <si>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</si>
  <si>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</si>
  <si>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</si>
  <si>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</si>
  <si>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</si>
  <si>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</si>
  <si>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</si>
  <si>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</si>
  <si>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</si>
  <si>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</si>
  <si>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</si>
  <si>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</si>
  <si>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</si>
  <si>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</si>
  <si>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</si>
  <si>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</si>
  <si>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</si>
  <si>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</si>
  <si>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</si>
  <si>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</si>
  <si>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</si>
  <si>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</si>
  <si>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</si>
  <si>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</si>
  <si>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</si>
  <si>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</si>
  <si>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</si>
  <si>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</si>
  <si>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</si>
  <si>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</si>
  <si>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</si>
  <si>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</si>
  <si>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</si>
  <si>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</si>
  <si>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</si>
  <si>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</si>
  <si>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</si>
  <si>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</si>
  <si>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</si>
  <si>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</si>
  <si>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</si>
  <si>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</si>
  <si>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</si>
  <si>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</si>
  <si>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</si>
  <si>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</si>
  <si>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</si>
  <si>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</si>
  <si>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</si>
  <si>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</si>
  <si>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</si>
  <si>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</si>
  <si>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</si>
  <si>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</si>
  <si>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</si>
  <si>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</si>
  <si>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</si>
  <si>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</si>
  <si>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</si>
  <si>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</si>
  <si>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</si>
  <si>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</si>
  <si>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</si>
  <si>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</si>
  <si>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</si>
  <si>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</si>
  <si>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</si>
  <si>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</si>
  <si>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</si>
  <si>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</si>
  <si>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</si>
  <si>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</si>
  <si>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</si>
  <si>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</si>
  <si>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</si>
  <si>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</si>
  <si>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</si>
  <si>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</si>
  <si>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</si>
  <si>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</si>
  <si>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</si>
  <si>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</si>
  <si>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</si>
  <si>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</si>
  <si>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</si>
  <si>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</si>
  <si>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</si>
  <si>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</si>
  <si>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</si>
  <si>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</si>
  <si>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</si>
  <si>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</si>
  <si>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</si>
  <si>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</si>
  <si>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</si>
  <si>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</si>
  <si>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</si>
  <si>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</si>
  <si>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</si>
  <si>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</si>
  <si>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</si>
  <si>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</si>
  <si>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</si>
  <si>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</si>
  <si>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</si>
  <si>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</si>
  <si>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</si>
  <si>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</si>
  <si>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</si>
  <si>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</si>
  <si>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</si>
  <si>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</si>
  <si>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</si>
  <si>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</si>
  <si>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</si>
  <si>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</si>
  <si>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</si>
  <si>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</si>
  <si>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</si>
  <si>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</si>
  <si>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</si>
  <si>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</si>
  <si>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</si>
  <si>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</si>
  <si>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</si>
  <si>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</si>
  <si>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</si>
  <si>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</si>
  <si>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</si>
  <si>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</si>
  <si>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</si>
  <si>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</si>
  <si>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</si>
  <si>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</si>
  <si>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</si>
  <si>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</si>
  <si>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</si>
  <si>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</si>
  <si>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</si>
  <si>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</si>
  <si>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</si>
  <si>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</si>
  <si>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</si>
  <si>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</si>
  <si>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</si>
  <si>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</si>
  <si>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</si>
  <si>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</si>
  <si>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</si>
  <si>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</si>
  <si>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</si>
  <si>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</si>
  <si>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</si>
  <si>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</si>
  <si>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</si>
  <si>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</si>
  <si>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</si>
  <si>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</si>
  <si>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</si>
  <si>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</si>
  <si>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</si>
  <si>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</si>
  <si>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</si>
  <si>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</si>
  <si>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</si>
  <si>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</si>
  <si>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</si>
  <si>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</si>
  <si>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</si>
  <si>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</si>
  <si>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</si>
  <si>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</si>
  <si>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</si>
  <si>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</si>
  <si>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</si>
  <si>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</si>
  <si>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</si>
  <si>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</si>
  <si>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</si>
  <si>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</si>
  <si>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</si>
  <si>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</si>
  <si>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</si>
  <si>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</si>
  <si>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</si>
  <si>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</si>
  <si>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</si>
  <si>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</si>
  <si>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</si>
  <si>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</si>
  <si>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</si>
  <si>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</si>
  <si>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</si>
  <si>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</si>
  <si>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</si>
  <si>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</si>
  <si>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</si>
  <si>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</si>
  <si>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</si>
  <si>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</si>
  <si>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</si>
  <si>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</si>
  <si>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</si>
  <si>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</si>
  <si>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</si>
  <si>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</si>
  <si>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</si>
  <si>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</si>
  <si>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</si>
  <si>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</si>
  <si>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</si>
  <si>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</si>
  <si>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</si>
  <si>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</si>
  <si>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</si>
  <si>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</si>
  <si>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</si>
  <si>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</si>
  <si>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</si>
  <si>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</si>
  <si>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</si>
  <si>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</si>
  <si>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</si>
  <si>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</si>
  <si>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</si>
  <si>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</si>
  <si>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</si>
  <si>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</si>
  <si>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</si>
  <si>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</si>
  <si>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</si>
  <si>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</si>
  <si>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</si>
  <si>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</si>
  <si>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</si>
  <si>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</si>
  <si>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</si>
  <si>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</si>
  <si>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</si>
  <si>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</si>
  <si>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</si>
  <si>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</si>
  <si>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</si>
  <si>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</si>
  <si>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</si>
  <si>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</si>
  <si>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</si>
  <si>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</si>
  <si>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</si>
  <si>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</si>
  <si>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</si>
  <si>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</si>
  <si>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</si>
  <si>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</si>
  <si>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</si>
  <si>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</si>
  <si>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</si>
  <si>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</si>
  <si>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</si>
  <si>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</si>
  <si>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</si>
  <si>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</si>
  <si>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</si>
  <si>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</si>
  <si>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</si>
  <si>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</si>
  <si>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</si>
  <si>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</si>
  <si>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</si>
  <si>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</si>
  <si>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</si>
  <si>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</si>
  <si>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</si>
  <si>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</si>
  <si>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</si>
  <si>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</si>
  <si>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</si>
  <si>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</si>
  <si>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</si>
  <si>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</si>
  <si>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</si>
  <si>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</si>
  <si>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</si>
  <si>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</si>
  <si>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</si>
  <si>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</si>
  <si>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</si>
  <si>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</si>
  <si>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</si>
  <si>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</si>
  <si>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</si>
  <si>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</si>
  <si>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</si>
  <si>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</si>
  <si>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</si>
  <si>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</si>
  <si>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</si>
  <si>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</si>
  <si>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</si>
  <si>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</si>
  <si>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</si>
  <si>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</si>
  <si>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</si>
  <si>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</si>
  <si>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</si>
  <si>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</si>
  <si>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</si>
  <si>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</si>
  <si>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</si>
  <si>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</si>
  <si>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</si>
  <si>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</si>
  <si>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</si>
  <si>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</si>
  <si>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</si>
  <si>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</si>
  <si>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</si>
  <si>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</si>
  <si>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</si>
  <si>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</si>
  <si>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</si>
  <si>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</si>
  <si>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</si>
  <si>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</si>
  <si>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</si>
  <si>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</si>
  <si>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</si>
  <si>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</si>
  <si>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</si>
  <si>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</si>
  <si>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</si>
  <si>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</si>
  <si>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</si>
  <si>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</si>
  <si>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</si>
  <si>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</si>
  <si>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</si>
  <si>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</si>
  <si>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</si>
  <si>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</si>
  <si>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</si>
  <si>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</si>
  <si>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</si>
  <si>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</si>
  <si>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</si>
  <si>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</si>
  <si>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</si>
  <si>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</si>
  <si>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</si>
  <si>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</si>
  <si>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</si>
  <si>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</si>
  <si>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</si>
  <si>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</si>
  <si>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</si>
  <si>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</si>
  <si>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</si>
  <si>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</si>
  <si>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</si>
  <si>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</si>
  <si>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</si>
  <si>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</si>
  <si>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</si>
  <si>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</si>
  <si>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</si>
  <si>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</si>
  <si>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</si>
  <si>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</si>
  <si>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</si>
  <si>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</si>
  <si>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</si>
  <si>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</si>
  <si>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</si>
  <si>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</si>
  <si>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</si>
  <si>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</si>
  <si>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</si>
  <si>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</si>
  <si>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</si>
  <si>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</si>
  <si>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</si>
  <si>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</si>
  <si>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</si>
  <si>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</si>
  <si>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</si>
  <si>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</si>
  <si>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</si>
  <si>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</si>
  <si>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</si>
  <si>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</si>
  <si>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</si>
  <si>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</si>
  <si>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</si>
  <si>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</si>
  <si>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به حساب بورس مهدی معادل 1864 تا وغدیر 213.7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</si>
  <si>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</si>
  <si>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</si>
  <si>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</si>
  <si>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</si>
  <si>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</si>
  <si>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</si>
  <si>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</si>
  <si>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</si>
  <si>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</si>
  <si>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</si>
  <si>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</si>
  <si>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</si>
  <si>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</si>
  <si>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</si>
  <si>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</si>
  <si>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</si>
  <si>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</si>
  <si>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</si>
  <si>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</si>
  <si>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</si>
  <si>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</si>
  <si>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</si>
  <si>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</si>
  <si>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</si>
  <si>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</si>
  <si>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</si>
  <si>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</si>
  <si>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</si>
  <si>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</si>
  <si>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</si>
  <si>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</si>
  <si>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</si>
  <si>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</si>
  <si>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</si>
  <si>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</si>
  <si>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</si>
  <si>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</si>
  <si>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</si>
  <si>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</si>
  <si>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</si>
  <si>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</si>
  <si>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</si>
  <si>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</si>
  <si>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</si>
  <si>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</si>
  <si>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</si>
  <si>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</si>
  <si>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</si>
  <si>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</si>
  <si>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</si>
  <si>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17/71397</t>
  </si>
  <si>
    <t>معادل 5019 تا سهم وغدیر به قیمت 200.4 فروش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</si>
  <si>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</si>
  <si>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</si>
  <si>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</si>
  <si>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</si>
  <si>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</si>
  <si>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بدهی به مهدی نقدی 17/7/1397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</si>
  <si>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</si>
  <si>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</si>
  <si>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</si>
  <si>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</si>
  <si>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</si>
  <si>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</si>
  <si>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</si>
  <si>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</si>
  <si>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</si>
  <si>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</si>
  <si>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</si>
  <si>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</si>
  <si>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</si>
  <si>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</si>
  <si>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</si>
  <si>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</si>
  <si>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</si>
  <si>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</si>
  <si>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</si>
  <si>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</si>
  <si>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</si>
  <si>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داوه</t>
  </si>
  <si>
    <t>بن کارت مریم به ملت علی و 25 نقد 23/7</t>
  </si>
  <si>
    <t>بدهی مریم به داریوش واریزی به بورس علی که علی پرداخت کرد</t>
  </si>
  <si>
    <t>داوه 174 تا 330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</si>
  <si>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</si>
  <si>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</si>
  <si>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</si>
  <si>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طلب از امیر قدس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</si>
  <si>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</si>
  <si>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</si>
  <si>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</si>
  <si>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</si>
  <si>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</si>
  <si>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</si>
  <si>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</si>
  <si>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</si>
  <si>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</si>
  <si>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</si>
  <si>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</si>
  <si>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</si>
  <si>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</si>
  <si>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</si>
  <si>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</si>
  <si>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</si>
  <si>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</si>
  <si>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</si>
  <si>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</si>
  <si>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</si>
  <si>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</si>
  <si>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</si>
  <si>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معادل 50000 تا سهم وغدیر به قیمت 207.9 فروش</t>
  </si>
  <si>
    <t>اخزا 706 تعداد 26 قیمت 66501</t>
  </si>
  <si>
    <t>اخزا 706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</si>
  <si>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</si>
  <si>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</si>
  <si>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</si>
  <si>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</si>
  <si>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</si>
  <si>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</si>
  <si>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</si>
  <si>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</si>
  <si>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29/7/1397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</si>
  <si>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</si>
  <si>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</si>
  <si>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</si>
  <si>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</si>
  <si>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</si>
  <si>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</si>
  <si>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</si>
  <si>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</si>
  <si>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مهدی بابت نوسانگیری</t>
  </si>
  <si>
    <t>30/7/1397</t>
  </si>
  <si>
    <t>معادل 132532 تا سهم وغدیر به قیمت 222 فروش</t>
  </si>
  <si>
    <t>تعداد 0 عدد سهام وغدیر</t>
  </si>
  <si>
    <t>بدهی نقدی به مهدی 11250229 تومان تاریخ 28/7/97 و 29265866 بابت فروش 132532 تا وغدیر</t>
  </si>
  <si>
    <t>اخزا 706 تعداد 36 قیمت 66500</t>
  </si>
  <si>
    <t>اشاد9 تعداد 200 قیمت 80200</t>
  </si>
  <si>
    <t>وغدیر 981146 تا 192</t>
  </si>
  <si>
    <t>وتوسم 260 190 73%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</si>
</sst>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2" fillId="0" borderId="0" xfId="0" applyFont="1"/>
    <xf numFmtId="0" fontId="0" fillId="2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0" fillId="33" borderId="0" xfId="0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3" t="s">
        <v>4282</v>
      </c>
      <c r="B1" t="s">
        <v>4283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37" workbookViewId="0">
      <selection activeCell="E70" sqref="E70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4181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4187</v>
      </c>
      <c r="B3" s="18">
        <v>830000</v>
      </c>
      <c r="C3" s="18">
        <v>0</v>
      </c>
      <c r="D3" s="117">
        <f t="shared" ref="D3:D26" si="0">B3-C3</f>
        <v>830000</v>
      </c>
      <c r="E3" s="20" t="s">
        <v>4189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4209</v>
      </c>
      <c r="B4" s="18">
        <v>-52440</v>
      </c>
      <c r="C4" s="18">
        <v>0</v>
      </c>
      <c r="D4" s="113">
        <f t="shared" si="0"/>
        <v>-52440</v>
      </c>
      <c r="E4" s="99" t="s">
        <v>4215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4216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4218</v>
      </c>
      <c r="B6" s="18">
        <v>-200000</v>
      </c>
      <c r="C6" s="18">
        <v>0</v>
      </c>
      <c r="D6" s="113">
        <f t="shared" si="0"/>
        <v>-200000</v>
      </c>
      <c r="E6" s="19" t="s">
        <v>4219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4220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4221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4221</v>
      </c>
      <c r="B9" s="18">
        <v>-30000</v>
      </c>
      <c r="C9" s="18">
        <v>0</v>
      </c>
      <c r="D9" s="113">
        <f t="shared" si="0"/>
        <v>-30000</v>
      </c>
      <c r="E9" s="21" t="s">
        <v>4222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4225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4226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4180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4230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4235</v>
      </c>
      <c r="B14" s="18">
        <v>1548000</v>
      </c>
      <c r="C14" s="18">
        <v>0</v>
      </c>
      <c r="D14" s="113">
        <f t="shared" si="0"/>
        <v>1548000</v>
      </c>
      <c r="E14" s="20" t="s">
        <v>4278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4266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4279</v>
      </c>
      <c r="B16" s="18">
        <v>-5000</v>
      </c>
      <c r="C16" s="18">
        <v>-2500</v>
      </c>
      <c r="D16" s="113">
        <f t="shared" si="0"/>
        <v>-2500</v>
      </c>
      <c r="E16" s="20" t="s">
        <v>4280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4294</v>
      </c>
      <c r="B17" s="18">
        <v>-190000</v>
      </c>
      <c r="C17" s="18">
        <v>0</v>
      </c>
      <c r="D17" s="113">
        <f t="shared" si="0"/>
        <v>-190000</v>
      </c>
      <c r="E17" s="20" t="s">
        <v>4295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4163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4163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4171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4184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7227</v>
      </c>
      <c r="C27" s="113">
        <f>SUM(C2:C26)</f>
        <v>7903817</v>
      </c>
      <c r="D27" s="113">
        <f>SUM(D2:D26)</f>
        <v>-7896590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v>600</v>
      </c>
      <c r="H33" s="18">
        <f>G33*H28/G28</f>
        <v>20396.858111885507</v>
      </c>
      <c r="I33" s="18">
        <f>G33*I28/G28</f>
        <v>-19796.858111885507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4190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4201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4203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4223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4225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4227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4229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4229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4231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4233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4236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4264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4276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4277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4288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4293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4298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4299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4302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4303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4306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4307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4309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4313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4314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4315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4325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4339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4346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/>
      <c r="E70" s="41" t="s">
        <v>25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f>SUM(D33:D70)</f>
        <v>-50857326</v>
      </c>
      <c r="E71" s="96" t="s">
        <v>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41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E74" t="s">
        <v>25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E75" t="s">
        <v>25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21" activePane="bottomLeft" state="frozen"/>
      <selection pane="bottomLeft" activeCell="F224" sqref="F2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919</v>
      </c>
      <c r="H2" s="36">
        <f>IF(B2&gt;0,1,0)</f>
        <v>1</v>
      </c>
      <c r="I2" s="11">
        <f>B2*(G2-H2)</f>
        <v>15330600</v>
      </c>
      <c r="J2" s="53">
        <f>C2*(G2-H2)</f>
        <v>15330600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918</v>
      </c>
      <c r="H3" s="36">
        <f t="shared" ref="H3:H66" si="2">IF(B3&gt;0,1,0)</f>
        <v>1</v>
      </c>
      <c r="I3" s="11">
        <f t="shared" ref="I3:I66" si="3">B3*(G3-H3)</f>
        <v>18248300000</v>
      </c>
      <c r="J3" s="53">
        <f t="shared" ref="J3:J66" si="4">C3*(G3-H3)</f>
        <v>10441879000</v>
      </c>
      <c r="K3" s="53">
        <f t="shared" ref="K3:K66" si="5">D3*(G3-H3)</f>
        <v>7806421000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918</v>
      </c>
      <c r="H4" s="36">
        <f t="shared" si="2"/>
        <v>0</v>
      </c>
      <c r="I4" s="11">
        <f t="shared" si="3"/>
        <v>0</v>
      </c>
      <c r="J4" s="53">
        <f t="shared" si="4"/>
        <v>7803000</v>
      </c>
      <c r="K4" s="53">
        <f t="shared" si="5"/>
        <v>-7803000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916</v>
      </c>
      <c r="H5" s="36">
        <f t="shared" si="2"/>
        <v>1</v>
      </c>
      <c r="I5" s="11">
        <f t="shared" si="3"/>
        <v>1830000000</v>
      </c>
      <c r="J5" s="53">
        <f t="shared" si="4"/>
        <v>0</v>
      </c>
      <c r="K5" s="53">
        <f t="shared" si="5"/>
        <v>1830000000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909</v>
      </c>
      <c r="H6" s="36">
        <f t="shared" si="2"/>
        <v>0</v>
      </c>
      <c r="I6" s="11">
        <f t="shared" si="3"/>
        <v>-4545000</v>
      </c>
      <c r="J6" s="53">
        <f t="shared" si="4"/>
        <v>0</v>
      </c>
      <c r="K6" s="53">
        <f t="shared" si="5"/>
        <v>-4545000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905</v>
      </c>
      <c r="H7" s="36">
        <f t="shared" si="2"/>
        <v>0</v>
      </c>
      <c r="I7" s="11">
        <f t="shared" si="3"/>
        <v>-1086452500</v>
      </c>
      <c r="J7" s="53">
        <f t="shared" si="4"/>
        <v>0</v>
      </c>
      <c r="K7" s="53">
        <f t="shared" si="5"/>
        <v>-1086452500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904</v>
      </c>
      <c r="H8" s="36">
        <f t="shared" si="2"/>
        <v>0</v>
      </c>
      <c r="I8" s="11">
        <f t="shared" si="3"/>
        <v>-180800000</v>
      </c>
      <c r="J8" s="53">
        <f t="shared" si="4"/>
        <v>0</v>
      </c>
      <c r="K8" s="53">
        <f t="shared" si="5"/>
        <v>-180800000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902</v>
      </c>
      <c r="H9" s="36">
        <f t="shared" si="2"/>
        <v>0</v>
      </c>
      <c r="I9" s="11">
        <f t="shared" si="3"/>
        <v>-636361000</v>
      </c>
      <c r="J9" s="53">
        <f t="shared" si="4"/>
        <v>0</v>
      </c>
      <c r="K9" s="53">
        <f t="shared" si="5"/>
        <v>-636361000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893</v>
      </c>
      <c r="H10" s="36">
        <f t="shared" si="2"/>
        <v>0</v>
      </c>
      <c r="I10" s="11">
        <f t="shared" si="3"/>
        <v>-178600000</v>
      </c>
      <c r="J10" s="53">
        <f t="shared" si="4"/>
        <v>0</v>
      </c>
      <c r="K10" s="53">
        <f t="shared" si="5"/>
        <v>-178600000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893</v>
      </c>
      <c r="H11" s="36">
        <f t="shared" si="2"/>
        <v>1</v>
      </c>
      <c r="I11" s="11">
        <f t="shared" si="3"/>
        <v>892000000</v>
      </c>
      <c r="J11" s="53">
        <f t="shared" si="4"/>
        <v>0</v>
      </c>
      <c r="K11" s="53">
        <f t="shared" si="5"/>
        <v>892000000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889</v>
      </c>
      <c r="H12" s="36">
        <f t="shared" si="2"/>
        <v>0</v>
      </c>
      <c r="I12" s="11">
        <f t="shared" si="3"/>
        <v>-266700000</v>
      </c>
      <c r="J12" s="53">
        <f t="shared" si="4"/>
        <v>0</v>
      </c>
      <c r="K12" s="53">
        <f t="shared" si="5"/>
        <v>-266700000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884</v>
      </c>
      <c r="H13" s="36">
        <f t="shared" si="2"/>
        <v>0</v>
      </c>
      <c r="I13" s="11">
        <f t="shared" si="3"/>
        <v>-54808000</v>
      </c>
      <c r="J13" s="53">
        <f t="shared" si="4"/>
        <v>0</v>
      </c>
      <c r="K13" s="53">
        <f t="shared" si="5"/>
        <v>-54808000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884</v>
      </c>
      <c r="H14" s="36">
        <f t="shared" si="2"/>
        <v>1</v>
      </c>
      <c r="I14" s="11">
        <f t="shared" si="3"/>
        <v>1766000000</v>
      </c>
      <c r="J14" s="53">
        <f t="shared" si="4"/>
        <v>0</v>
      </c>
      <c r="K14" s="53">
        <f t="shared" si="5"/>
        <v>1766000000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883</v>
      </c>
      <c r="H15" s="36">
        <f t="shared" si="2"/>
        <v>1</v>
      </c>
      <c r="I15" s="11">
        <f t="shared" si="3"/>
        <v>1587600000</v>
      </c>
      <c r="J15" s="53">
        <f t="shared" si="4"/>
        <v>0</v>
      </c>
      <c r="K15" s="53">
        <f t="shared" si="5"/>
        <v>1587600000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883</v>
      </c>
      <c r="H16" s="36">
        <f t="shared" si="2"/>
        <v>0</v>
      </c>
      <c r="I16" s="11">
        <f t="shared" si="3"/>
        <v>-176600000</v>
      </c>
      <c r="J16" s="53">
        <f t="shared" si="4"/>
        <v>0</v>
      </c>
      <c r="K16" s="53">
        <f t="shared" si="5"/>
        <v>-176600000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879</v>
      </c>
      <c r="H17" s="36">
        <f t="shared" si="2"/>
        <v>0</v>
      </c>
      <c r="I17" s="11">
        <f t="shared" si="3"/>
        <v>-1758000000</v>
      </c>
      <c r="J17" s="53">
        <f t="shared" si="4"/>
        <v>0</v>
      </c>
      <c r="K17" s="53">
        <f t="shared" si="5"/>
        <v>-1758000000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878</v>
      </c>
      <c r="H18" s="36">
        <f t="shared" si="2"/>
        <v>0</v>
      </c>
      <c r="I18" s="11">
        <f t="shared" si="3"/>
        <v>-263400000</v>
      </c>
      <c r="J18" s="53">
        <f t="shared" si="4"/>
        <v>0</v>
      </c>
      <c r="K18" s="53">
        <f t="shared" si="5"/>
        <v>-263400000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877</v>
      </c>
      <c r="H19" s="36">
        <f t="shared" si="2"/>
        <v>0</v>
      </c>
      <c r="I19" s="11">
        <f t="shared" si="3"/>
        <v>-175400000</v>
      </c>
      <c r="J19" s="53">
        <f t="shared" si="4"/>
        <v>0</v>
      </c>
      <c r="K19" s="53">
        <f t="shared" si="5"/>
        <v>-175400000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875</v>
      </c>
      <c r="H20" s="36">
        <f t="shared" si="2"/>
        <v>1</v>
      </c>
      <c r="I20" s="11">
        <f t="shared" si="3"/>
        <v>236931786</v>
      </c>
      <c r="J20" s="53">
        <f t="shared" si="4"/>
        <v>128873048</v>
      </c>
      <c r="K20" s="53">
        <f t="shared" si="5"/>
        <v>108058738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873</v>
      </c>
      <c r="H21" s="36">
        <f t="shared" si="2"/>
        <v>0</v>
      </c>
      <c r="I21" s="11">
        <f t="shared" si="3"/>
        <v>-1314476100</v>
      </c>
      <c r="J21" s="53">
        <f t="shared" si="4"/>
        <v>0</v>
      </c>
      <c r="K21" s="53">
        <f t="shared" si="5"/>
        <v>-1314476100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870</v>
      </c>
      <c r="H22" s="36">
        <f t="shared" si="2"/>
        <v>1</v>
      </c>
      <c r="I22" s="11">
        <f t="shared" si="3"/>
        <v>2607000000</v>
      </c>
      <c r="J22" s="53">
        <f t="shared" si="4"/>
        <v>0</v>
      </c>
      <c r="K22" s="53">
        <f t="shared" si="5"/>
        <v>2607000000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869</v>
      </c>
      <c r="H23" s="36">
        <f t="shared" si="2"/>
        <v>1</v>
      </c>
      <c r="I23" s="11">
        <f t="shared" si="3"/>
        <v>868000000</v>
      </c>
      <c r="J23" s="53">
        <f t="shared" si="4"/>
        <v>0</v>
      </c>
      <c r="K23" s="53">
        <f t="shared" si="5"/>
        <v>868000000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868</v>
      </c>
      <c r="H24" s="36">
        <f t="shared" si="2"/>
        <v>0</v>
      </c>
      <c r="I24" s="11">
        <f t="shared" si="3"/>
        <v>-2604781200</v>
      </c>
      <c r="J24" s="53">
        <f t="shared" si="4"/>
        <v>0</v>
      </c>
      <c r="K24" s="53">
        <f t="shared" si="5"/>
        <v>-2604781200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853</v>
      </c>
      <c r="H25" s="36">
        <f t="shared" si="2"/>
        <v>1</v>
      </c>
      <c r="I25" s="11">
        <f t="shared" si="3"/>
        <v>1278000000</v>
      </c>
      <c r="J25" s="53">
        <f t="shared" si="4"/>
        <v>0</v>
      </c>
      <c r="K25" s="53">
        <f t="shared" si="5"/>
        <v>1278000000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845</v>
      </c>
      <c r="H26" s="36">
        <f t="shared" si="2"/>
        <v>0</v>
      </c>
      <c r="I26" s="11">
        <f t="shared" si="3"/>
        <v>-138580000</v>
      </c>
      <c r="J26" s="53">
        <f t="shared" si="4"/>
        <v>0</v>
      </c>
      <c r="K26" s="53">
        <f t="shared" si="5"/>
        <v>-138580000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844</v>
      </c>
      <c r="H27" s="36">
        <f t="shared" si="2"/>
        <v>1</v>
      </c>
      <c r="I27" s="11">
        <f t="shared" si="3"/>
        <v>168088299</v>
      </c>
      <c r="J27" s="53">
        <f t="shared" si="4"/>
        <v>90549159</v>
      </c>
      <c r="K27" s="53">
        <f t="shared" si="5"/>
        <v>77539140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842</v>
      </c>
      <c r="H28" s="36">
        <f t="shared" si="2"/>
        <v>0</v>
      </c>
      <c r="I28" s="11">
        <f t="shared" si="3"/>
        <v>-186082000</v>
      </c>
      <c r="J28" s="53">
        <f t="shared" si="4"/>
        <v>-186082000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842</v>
      </c>
      <c r="H29" s="36">
        <f t="shared" si="2"/>
        <v>0</v>
      </c>
      <c r="I29" s="11">
        <f t="shared" si="3"/>
        <v>-421421000</v>
      </c>
      <c r="J29" s="53">
        <f t="shared" si="4"/>
        <v>0</v>
      </c>
      <c r="K29" s="53">
        <f t="shared" si="5"/>
        <v>-421421000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842</v>
      </c>
      <c r="H30" s="36">
        <f t="shared" si="2"/>
        <v>0</v>
      </c>
      <c r="I30" s="11">
        <f t="shared" si="3"/>
        <v>-12630000000</v>
      </c>
      <c r="J30" s="53">
        <f t="shared" si="4"/>
        <v>-12630000000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825</v>
      </c>
      <c r="H31" s="36">
        <f t="shared" si="2"/>
        <v>0</v>
      </c>
      <c r="I31" s="11">
        <f t="shared" si="3"/>
        <v>-2483992500</v>
      </c>
      <c r="J31" s="53">
        <f t="shared" si="4"/>
        <v>0</v>
      </c>
      <c r="K31" s="53">
        <f t="shared" si="5"/>
        <v>-2483992500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823</v>
      </c>
      <c r="H32" s="36">
        <f t="shared" si="2"/>
        <v>0</v>
      </c>
      <c r="I32" s="11">
        <f t="shared" si="3"/>
        <v>-2473855700</v>
      </c>
      <c r="J32" s="53">
        <f t="shared" si="4"/>
        <v>0</v>
      </c>
      <c r="K32" s="53">
        <f t="shared" si="5"/>
        <v>-2473855700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822</v>
      </c>
      <c r="H33" s="36">
        <f t="shared" si="2"/>
        <v>0</v>
      </c>
      <c r="I33" s="11">
        <f t="shared" si="3"/>
        <v>-736101000</v>
      </c>
      <c r="J33" s="53">
        <f t="shared" si="4"/>
        <v>0</v>
      </c>
      <c r="K33" s="53">
        <f t="shared" si="5"/>
        <v>-736101000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822</v>
      </c>
      <c r="H34" s="36">
        <f t="shared" si="2"/>
        <v>0</v>
      </c>
      <c r="I34" s="11">
        <f t="shared" si="3"/>
        <v>0</v>
      </c>
      <c r="J34" s="53">
        <f t="shared" si="4"/>
        <v>822000000</v>
      </c>
      <c r="K34" s="53">
        <f t="shared" si="5"/>
        <v>-822000000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813</v>
      </c>
      <c r="H35" s="36">
        <f t="shared" si="2"/>
        <v>1</v>
      </c>
      <c r="I35" s="11">
        <f t="shared" si="3"/>
        <v>42607264</v>
      </c>
      <c r="J35" s="53">
        <f t="shared" si="4"/>
        <v>-17590356</v>
      </c>
      <c r="K35" s="53">
        <f t="shared" si="5"/>
        <v>60197620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813</v>
      </c>
      <c r="H36" s="36">
        <f t="shared" si="2"/>
        <v>0</v>
      </c>
      <c r="I36" s="11">
        <f t="shared" si="3"/>
        <v>0</v>
      </c>
      <c r="J36" s="53">
        <f t="shared" si="4"/>
        <v>17612019</v>
      </c>
      <c r="K36" s="53">
        <f t="shared" si="5"/>
        <v>-17612019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803</v>
      </c>
      <c r="H37" s="36">
        <f t="shared" si="2"/>
        <v>0</v>
      </c>
      <c r="I37" s="11">
        <f t="shared" si="3"/>
        <v>-44165000</v>
      </c>
      <c r="J37" s="53">
        <f t="shared" si="4"/>
        <v>0</v>
      </c>
      <c r="K37" s="53">
        <f t="shared" si="5"/>
        <v>-44165000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802</v>
      </c>
      <c r="H38" s="36">
        <f t="shared" si="2"/>
        <v>1</v>
      </c>
      <c r="I38" s="11">
        <f t="shared" si="3"/>
        <v>2403000000</v>
      </c>
      <c r="J38" s="53">
        <f t="shared" si="4"/>
        <v>2403000000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801</v>
      </c>
      <c r="H39" s="36">
        <f t="shared" si="2"/>
        <v>1</v>
      </c>
      <c r="I39" s="11">
        <f t="shared" si="3"/>
        <v>2000000000</v>
      </c>
      <c r="J39" s="53">
        <f t="shared" si="4"/>
        <v>2000000000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801</v>
      </c>
      <c r="H40" s="36">
        <f t="shared" si="2"/>
        <v>0</v>
      </c>
      <c r="I40" s="11">
        <f t="shared" si="3"/>
        <v>-40050000</v>
      </c>
      <c r="J40" s="53">
        <f t="shared" si="4"/>
        <v>0</v>
      </c>
      <c r="K40" s="53">
        <f t="shared" si="5"/>
        <v>-40050000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801</v>
      </c>
      <c r="H41" s="36">
        <f t="shared" si="2"/>
        <v>1</v>
      </c>
      <c r="I41" s="11">
        <f t="shared" si="3"/>
        <v>2400000000</v>
      </c>
      <c r="J41" s="53">
        <f t="shared" si="4"/>
        <v>0</v>
      </c>
      <c r="K41" s="53">
        <f t="shared" si="5"/>
        <v>2400000000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798</v>
      </c>
      <c r="H42" s="36">
        <f t="shared" si="2"/>
        <v>0</v>
      </c>
      <c r="I42" s="11">
        <f t="shared" si="3"/>
        <v>-71181600</v>
      </c>
      <c r="J42" s="53">
        <f t="shared" si="4"/>
        <v>0</v>
      </c>
      <c r="K42" s="53">
        <f t="shared" si="5"/>
        <v>-71181600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794</v>
      </c>
      <c r="H43" s="36">
        <f t="shared" si="2"/>
        <v>0</v>
      </c>
      <c r="I43" s="11">
        <f t="shared" si="3"/>
        <v>-158800000</v>
      </c>
      <c r="J43" s="53">
        <f t="shared" si="4"/>
        <v>0</v>
      </c>
      <c r="K43" s="53">
        <f t="shared" si="5"/>
        <v>-158800000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792</v>
      </c>
      <c r="H44" s="36">
        <f t="shared" si="2"/>
        <v>0</v>
      </c>
      <c r="I44" s="11">
        <f t="shared" si="3"/>
        <v>-158400000</v>
      </c>
      <c r="J44" s="53">
        <f t="shared" si="4"/>
        <v>0</v>
      </c>
      <c r="K44" s="53">
        <f t="shared" si="5"/>
        <v>-158400000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792</v>
      </c>
      <c r="H45" s="36">
        <f t="shared" si="2"/>
        <v>0</v>
      </c>
      <c r="I45" s="11">
        <f t="shared" si="3"/>
        <v>-443520000</v>
      </c>
      <c r="J45" s="53">
        <f t="shared" si="4"/>
        <v>0</v>
      </c>
      <c r="K45" s="53">
        <f t="shared" si="5"/>
        <v>-443520000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788</v>
      </c>
      <c r="H46" s="36">
        <f t="shared" si="2"/>
        <v>0</v>
      </c>
      <c r="I46" s="11">
        <f t="shared" si="3"/>
        <v>-555934000</v>
      </c>
      <c r="J46" s="53">
        <f t="shared" si="4"/>
        <v>0</v>
      </c>
      <c r="K46" s="53">
        <f t="shared" si="5"/>
        <v>-555934000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782</v>
      </c>
      <c r="H47" s="36">
        <f t="shared" si="2"/>
        <v>1</v>
      </c>
      <c r="I47" s="11">
        <f t="shared" si="3"/>
        <v>32180324</v>
      </c>
      <c r="J47" s="53">
        <f t="shared" si="4"/>
        <v>5242853</v>
      </c>
      <c r="K47" s="53">
        <f t="shared" si="5"/>
        <v>26937471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782</v>
      </c>
      <c r="H48" s="36">
        <f t="shared" si="2"/>
        <v>1</v>
      </c>
      <c r="I48" s="11">
        <f t="shared" si="3"/>
        <v>1331370700</v>
      </c>
      <c r="J48" s="53">
        <f t="shared" si="4"/>
        <v>0</v>
      </c>
      <c r="K48" s="53">
        <f t="shared" si="5"/>
        <v>1331370700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773</v>
      </c>
      <c r="H49" s="36">
        <f t="shared" si="2"/>
        <v>0</v>
      </c>
      <c r="I49" s="11">
        <f t="shared" si="3"/>
        <v>-119815000</v>
      </c>
      <c r="J49" s="53">
        <f t="shared" si="4"/>
        <v>0</v>
      </c>
      <c r="K49" s="53">
        <f t="shared" si="5"/>
        <v>-119815000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773</v>
      </c>
      <c r="H50" s="36">
        <f t="shared" si="2"/>
        <v>0</v>
      </c>
      <c r="I50" s="11">
        <f t="shared" si="3"/>
        <v>-106674000</v>
      </c>
      <c r="J50" s="53">
        <f t="shared" si="4"/>
        <v>0</v>
      </c>
      <c r="K50" s="53">
        <f t="shared" si="5"/>
        <v>-106674000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773</v>
      </c>
      <c r="H51" s="36">
        <f t="shared" si="2"/>
        <v>0</v>
      </c>
      <c r="I51" s="11">
        <f t="shared" si="3"/>
        <v>-572020000</v>
      </c>
      <c r="J51" s="53">
        <f t="shared" si="4"/>
        <v>0</v>
      </c>
      <c r="K51" s="53">
        <f t="shared" si="5"/>
        <v>-572020000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773</v>
      </c>
      <c r="H52" s="36">
        <f t="shared" si="2"/>
        <v>0</v>
      </c>
      <c r="I52" s="11">
        <f t="shared" si="3"/>
        <v>-154600000</v>
      </c>
      <c r="J52" s="53">
        <f t="shared" si="4"/>
        <v>0</v>
      </c>
      <c r="K52" s="53">
        <f t="shared" si="5"/>
        <v>-154600000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772</v>
      </c>
      <c r="H53" s="36">
        <f t="shared" si="2"/>
        <v>0</v>
      </c>
      <c r="I53" s="11">
        <f t="shared" si="3"/>
        <v>-814460000</v>
      </c>
      <c r="J53" s="53">
        <f t="shared" si="4"/>
        <v>0</v>
      </c>
      <c r="K53" s="53">
        <f t="shared" si="5"/>
        <v>-814460000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772</v>
      </c>
      <c r="H54" s="36">
        <f t="shared" si="2"/>
        <v>0</v>
      </c>
      <c r="I54" s="11">
        <f t="shared" si="3"/>
        <v>-154400000</v>
      </c>
      <c r="J54" s="53">
        <f t="shared" si="4"/>
        <v>0</v>
      </c>
      <c r="K54" s="53">
        <f t="shared" si="5"/>
        <v>-154400000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772</v>
      </c>
      <c r="H55" s="36">
        <f t="shared" si="2"/>
        <v>0</v>
      </c>
      <c r="I55" s="11">
        <f t="shared" si="3"/>
        <v>-772386000</v>
      </c>
      <c r="J55" s="53">
        <f t="shared" si="4"/>
        <v>0</v>
      </c>
      <c r="K55" s="53">
        <f t="shared" si="5"/>
        <v>-772386000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772</v>
      </c>
      <c r="H56" s="36">
        <f t="shared" si="2"/>
        <v>0</v>
      </c>
      <c r="I56" s="11">
        <f t="shared" si="3"/>
        <v>-29336000</v>
      </c>
      <c r="J56" s="53">
        <f t="shared" si="4"/>
        <v>0</v>
      </c>
      <c r="K56" s="53">
        <f t="shared" si="5"/>
        <v>-29336000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772</v>
      </c>
      <c r="H57" s="36">
        <f t="shared" si="2"/>
        <v>0</v>
      </c>
      <c r="I57" s="11">
        <f t="shared" si="3"/>
        <v>-81060000</v>
      </c>
      <c r="J57" s="53">
        <f t="shared" si="4"/>
        <v>0</v>
      </c>
      <c r="K57" s="53">
        <f t="shared" si="5"/>
        <v>-81060000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772</v>
      </c>
      <c r="H58" s="36">
        <f t="shared" si="2"/>
        <v>0</v>
      </c>
      <c r="I58" s="11">
        <f t="shared" si="3"/>
        <v>-46320000</v>
      </c>
      <c r="J58" s="53">
        <f t="shared" si="4"/>
        <v>0</v>
      </c>
      <c r="K58" s="53">
        <f t="shared" si="5"/>
        <v>-46320000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769</v>
      </c>
      <c r="H59" s="36">
        <f t="shared" si="2"/>
        <v>1</v>
      </c>
      <c r="I59" s="11">
        <f t="shared" si="3"/>
        <v>768000000</v>
      </c>
      <c r="J59" s="53">
        <f t="shared" si="4"/>
        <v>768000000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768</v>
      </c>
      <c r="H60" s="36">
        <f t="shared" si="2"/>
        <v>1</v>
      </c>
      <c r="I60" s="11">
        <f t="shared" si="3"/>
        <v>2684500000</v>
      </c>
      <c r="J60" s="53">
        <f t="shared" si="4"/>
        <v>2684500000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766</v>
      </c>
      <c r="H61" s="36">
        <f t="shared" si="2"/>
        <v>1</v>
      </c>
      <c r="I61" s="11">
        <f t="shared" si="3"/>
        <v>765000000</v>
      </c>
      <c r="J61" s="53">
        <f t="shared" si="4"/>
        <v>765000000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766</v>
      </c>
      <c r="H62" s="36">
        <f t="shared" si="2"/>
        <v>1</v>
      </c>
      <c r="I62" s="11">
        <f t="shared" si="3"/>
        <v>2295000000</v>
      </c>
      <c r="J62" s="53">
        <f t="shared" si="4"/>
        <v>2295000000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764</v>
      </c>
      <c r="H63" s="36">
        <f t="shared" si="2"/>
        <v>0</v>
      </c>
      <c r="I63" s="11">
        <f t="shared" si="3"/>
        <v>-152800000</v>
      </c>
      <c r="J63" s="53">
        <f t="shared" si="4"/>
        <v>0</v>
      </c>
      <c r="K63" s="53">
        <f t="shared" si="5"/>
        <v>-152800000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759</v>
      </c>
      <c r="H64" s="36">
        <f t="shared" si="2"/>
        <v>0</v>
      </c>
      <c r="I64" s="11">
        <f t="shared" si="3"/>
        <v>-37950000</v>
      </c>
      <c r="J64" s="53">
        <f t="shared" si="4"/>
        <v>0</v>
      </c>
      <c r="K64" s="53">
        <f t="shared" si="5"/>
        <v>-37950000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755</v>
      </c>
      <c r="H65" s="36">
        <f t="shared" si="2"/>
        <v>0</v>
      </c>
      <c r="I65" s="11">
        <f t="shared" si="3"/>
        <v>-151000000</v>
      </c>
      <c r="J65" s="53">
        <f t="shared" si="4"/>
        <v>0</v>
      </c>
      <c r="K65" s="53">
        <f t="shared" si="5"/>
        <v>-151000000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752</v>
      </c>
      <c r="H66" s="36">
        <f t="shared" si="2"/>
        <v>0</v>
      </c>
      <c r="I66" s="11">
        <f t="shared" si="3"/>
        <v>-127840000</v>
      </c>
      <c r="J66" s="53">
        <f t="shared" si="4"/>
        <v>0</v>
      </c>
      <c r="K66" s="53">
        <f t="shared" si="5"/>
        <v>-127840000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751</v>
      </c>
      <c r="H67" s="36">
        <f t="shared" ref="H67:H131" si="8">IF(B67&gt;0,1,0)</f>
        <v>1</v>
      </c>
      <c r="I67" s="11">
        <f t="shared" ref="I67:I119" si="9">B67*(G67-H67)</f>
        <v>68493750</v>
      </c>
      <c r="J67" s="53">
        <f t="shared" ref="J67:J131" si="10">C67*(G67-H67)</f>
        <v>49292250</v>
      </c>
      <c r="K67" s="53">
        <f t="shared" ref="K67:K131" si="11">D67*(G67-H67)</f>
        <v>19201500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733</v>
      </c>
      <c r="H68" s="36">
        <f t="shared" si="8"/>
        <v>0</v>
      </c>
      <c r="I68" s="11">
        <f t="shared" si="9"/>
        <v>-106285000</v>
      </c>
      <c r="J68" s="53">
        <f t="shared" si="10"/>
        <v>0</v>
      </c>
      <c r="K68" s="53">
        <f t="shared" si="11"/>
        <v>-106285000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726</v>
      </c>
      <c r="H69" s="36">
        <f t="shared" si="8"/>
        <v>1</v>
      </c>
      <c r="I69" s="11">
        <f t="shared" si="9"/>
        <v>710500000</v>
      </c>
      <c r="J69" s="53">
        <f t="shared" si="10"/>
        <v>0</v>
      </c>
      <c r="K69" s="53">
        <f t="shared" si="11"/>
        <v>710500000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723</v>
      </c>
      <c r="H70" s="36">
        <f t="shared" si="8"/>
        <v>0</v>
      </c>
      <c r="I70" s="11">
        <f t="shared" si="9"/>
        <v>-33258000</v>
      </c>
      <c r="J70" s="53">
        <f t="shared" si="10"/>
        <v>0</v>
      </c>
      <c r="K70" s="53">
        <f t="shared" si="11"/>
        <v>-33258000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721</v>
      </c>
      <c r="H71" s="36">
        <f t="shared" si="8"/>
        <v>1</v>
      </c>
      <c r="I71" s="11">
        <f t="shared" si="9"/>
        <v>83043360</v>
      </c>
      <c r="J71" s="53">
        <f t="shared" si="10"/>
        <v>74744640</v>
      </c>
      <c r="K71" s="53">
        <f t="shared" si="11"/>
        <v>8298720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720</v>
      </c>
      <c r="H72" s="36">
        <f t="shared" si="8"/>
        <v>0</v>
      </c>
      <c r="I72" s="11">
        <f t="shared" si="9"/>
        <v>-109417680</v>
      </c>
      <c r="J72" s="53">
        <f t="shared" si="10"/>
        <v>0</v>
      </c>
      <c r="K72" s="53">
        <f t="shared" si="11"/>
        <v>-109417680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719</v>
      </c>
      <c r="H73" s="36">
        <f t="shared" si="8"/>
        <v>0</v>
      </c>
      <c r="I73" s="11">
        <f t="shared" si="9"/>
        <v>-579154500</v>
      </c>
      <c r="J73" s="53">
        <f t="shared" si="10"/>
        <v>0</v>
      </c>
      <c r="K73" s="53">
        <f t="shared" si="11"/>
        <v>-579154500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712</v>
      </c>
      <c r="H74" s="36">
        <f t="shared" si="8"/>
        <v>1</v>
      </c>
      <c r="I74" s="11">
        <f t="shared" si="9"/>
        <v>4973445000</v>
      </c>
      <c r="J74" s="53">
        <f t="shared" si="10"/>
        <v>0</v>
      </c>
      <c r="K74" s="53">
        <f t="shared" si="11"/>
        <v>4973445000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711</v>
      </c>
      <c r="H75" s="36">
        <f t="shared" si="8"/>
        <v>1</v>
      </c>
      <c r="I75" s="11">
        <f t="shared" si="9"/>
        <v>2130000000</v>
      </c>
      <c r="J75" s="53">
        <f t="shared" si="10"/>
        <v>0</v>
      </c>
      <c r="K75" s="53">
        <f t="shared" si="11"/>
        <v>2130000000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709</v>
      </c>
      <c r="H76" s="36">
        <f t="shared" si="8"/>
        <v>1</v>
      </c>
      <c r="I76" s="11">
        <f t="shared" si="9"/>
        <v>2124000000</v>
      </c>
      <c r="J76" s="53">
        <f t="shared" si="10"/>
        <v>0</v>
      </c>
      <c r="K76" s="53">
        <f t="shared" si="11"/>
        <v>2124000000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708</v>
      </c>
      <c r="H77" s="36">
        <f t="shared" si="8"/>
        <v>1</v>
      </c>
      <c r="I77" s="11">
        <f t="shared" si="9"/>
        <v>2121000000</v>
      </c>
      <c r="J77" s="53">
        <f t="shared" si="10"/>
        <v>0</v>
      </c>
      <c r="K77" s="53">
        <f t="shared" si="11"/>
        <v>2121000000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707</v>
      </c>
      <c r="H78" s="36">
        <f t="shared" si="8"/>
        <v>0</v>
      </c>
      <c r="I78" s="11">
        <f t="shared" si="9"/>
        <v>-2262400000</v>
      </c>
      <c r="J78" s="53">
        <f t="shared" si="10"/>
        <v>-2262400000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706</v>
      </c>
      <c r="H79" s="36">
        <f t="shared" si="8"/>
        <v>0</v>
      </c>
      <c r="I79" s="11">
        <f t="shared" si="9"/>
        <v>-564800000</v>
      </c>
      <c r="J79" s="53">
        <f t="shared" si="10"/>
        <v>-564800000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705</v>
      </c>
      <c r="H80" s="36">
        <f t="shared" si="8"/>
        <v>0</v>
      </c>
      <c r="I80" s="11">
        <f t="shared" si="9"/>
        <v>-34117065</v>
      </c>
      <c r="J80" s="53">
        <f t="shared" si="10"/>
        <v>0</v>
      </c>
      <c r="K80" s="53">
        <f t="shared" si="11"/>
        <v>-34117065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704</v>
      </c>
      <c r="H81" s="36">
        <f t="shared" si="8"/>
        <v>0</v>
      </c>
      <c r="I81" s="11">
        <f t="shared" si="9"/>
        <v>-98560000</v>
      </c>
      <c r="J81" s="53">
        <f t="shared" si="10"/>
        <v>0</v>
      </c>
      <c r="K81" s="53">
        <f t="shared" si="11"/>
        <v>-98560000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703</v>
      </c>
      <c r="H82" s="36">
        <f t="shared" si="8"/>
        <v>0</v>
      </c>
      <c r="I82" s="11">
        <f t="shared" si="9"/>
        <v>-175750000</v>
      </c>
      <c r="J82" s="53">
        <f t="shared" si="10"/>
        <v>0</v>
      </c>
      <c r="K82" s="53">
        <f t="shared" si="11"/>
        <v>-175750000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702</v>
      </c>
      <c r="H83" s="36">
        <f t="shared" si="8"/>
        <v>0</v>
      </c>
      <c r="I83" s="11">
        <f t="shared" si="9"/>
        <v>-140400000</v>
      </c>
      <c r="J83" s="53">
        <f t="shared" si="10"/>
        <v>0</v>
      </c>
      <c r="K83" s="53">
        <f t="shared" si="11"/>
        <v>-140400000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699</v>
      </c>
      <c r="H84" s="36">
        <f t="shared" si="8"/>
        <v>1</v>
      </c>
      <c r="I84" s="11">
        <f t="shared" si="9"/>
        <v>1141369600</v>
      </c>
      <c r="J84" s="53">
        <f t="shared" si="10"/>
        <v>0</v>
      </c>
      <c r="K84" s="53">
        <f t="shared" si="11"/>
        <v>1141369600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695</v>
      </c>
      <c r="H85" s="36">
        <f t="shared" si="8"/>
        <v>1</v>
      </c>
      <c r="I85" s="11">
        <f t="shared" si="9"/>
        <v>1735000000</v>
      </c>
      <c r="J85" s="53">
        <f t="shared" si="10"/>
        <v>0</v>
      </c>
      <c r="K85" s="53">
        <f t="shared" si="11"/>
        <v>1735000000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691</v>
      </c>
      <c r="H86" s="36">
        <f t="shared" si="8"/>
        <v>1</v>
      </c>
      <c r="I86" s="11">
        <f t="shared" si="9"/>
        <v>128547000</v>
      </c>
      <c r="J86" s="53">
        <f t="shared" si="10"/>
        <v>58615500</v>
      </c>
      <c r="K86" s="53">
        <f t="shared" si="11"/>
        <v>69931500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688</v>
      </c>
      <c r="H87" s="36">
        <f t="shared" si="8"/>
        <v>0</v>
      </c>
      <c r="I87" s="11">
        <f t="shared" si="9"/>
        <v>-137600000</v>
      </c>
      <c r="J87" s="53">
        <f t="shared" si="10"/>
        <v>0</v>
      </c>
      <c r="K87" s="53">
        <f t="shared" si="11"/>
        <v>-137600000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687</v>
      </c>
      <c r="H88" s="36">
        <f t="shared" si="8"/>
        <v>0</v>
      </c>
      <c r="I88" s="11">
        <f t="shared" si="9"/>
        <v>-81066000</v>
      </c>
      <c r="J88" s="53">
        <f t="shared" si="10"/>
        <v>-47403000</v>
      </c>
      <c r="K88" s="53">
        <f t="shared" si="11"/>
        <v>-33663000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679</v>
      </c>
      <c r="H89" s="36">
        <f t="shared" si="8"/>
        <v>0</v>
      </c>
      <c r="I89" s="11">
        <f t="shared" si="9"/>
        <v>-2173411100</v>
      </c>
      <c r="J89" s="53">
        <f t="shared" si="10"/>
        <v>0</v>
      </c>
      <c r="K89" s="53">
        <f t="shared" si="11"/>
        <v>-2173411100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678</v>
      </c>
      <c r="H90" s="36">
        <f t="shared" si="8"/>
        <v>0</v>
      </c>
      <c r="I90" s="11">
        <f t="shared" si="9"/>
        <v>-2170210200</v>
      </c>
      <c r="J90" s="53">
        <f t="shared" si="10"/>
        <v>0</v>
      </c>
      <c r="K90" s="53">
        <f t="shared" si="11"/>
        <v>-2170210200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677</v>
      </c>
      <c r="H91" s="36">
        <f t="shared" si="8"/>
        <v>0</v>
      </c>
      <c r="I91" s="11">
        <f t="shared" si="9"/>
        <v>-2167009300</v>
      </c>
      <c r="J91" s="53">
        <f t="shared" si="10"/>
        <v>0</v>
      </c>
      <c r="K91" s="53">
        <f t="shared" si="11"/>
        <v>-2167009300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676</v>
      </c>
      <c r="H92" s="36">
        <f t="shared" si="8"/>
        <v>0</v>
      </c>
      <c r="I92" s="11">
        <f t="shared" si="9"/>
        <v>-2163808400</v>
      </c>
      <c r="J92" s="53">
        <f t="shared" si="10"/>
        <v>0</v>
      </c>
      <c r="K92" s="53">
        <f t="shared" si="11"/>
        <v>-2163808400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675</v>
      </c>
      <c r="H93" s="36">
        <f t="shared" si="8"/>
        <v>0</v>
      </c>
      <c r="I93" s="11">
        <f t="shared" si="9"/>
        <v>-2160607500</v>
      </c>
      <c r="J93" s="53">
        <f t="shared" si="10"/>
        <v>0</v>
      </c>
      <c r="K93" s="53">
        <f t="shared" si="11"/>
        <v>-2160607500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674</v>
      </c>
      <c r="H94" s="36">
        <f t="shared" si="8"/>
        <v>0</v>
      </c>
      <c r="I94" s="11">
        <f t="shared" si="9"/>
        <v>-2157406600</v>
      </c>
      <c r="J94" s="53">
        <f t="shared" si="10"/>
        <v>0</v>
      </c>
      <c r="K94" s="53">
        <f t="shared" si="11"/>
        <v>-2157406600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672</v>
      </c>
      <c r="H95" s="36">
        <f t="shared" si="8"/>
        <v>0</v>
      </c>
      <c r="I95" s="11">
        <f t="shared" si="9"/>
        <v>-804112512</v>
      </c>
      <c r="J95" s="53">
        <f t="shared" si="10"/>
        <v>0</v>
      </c>
      <c r="K95" s="53">
        <f t="shared" si="11"/>
        <v>-804112512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662</v>
      </c>
      <c r="H96" s="36">
        <f t="shared" si="8"/>
        <v>0</v>
      </c>
      <c r="I96" s="11">
        <f t="shared" si="9"/>
        <v>-132400000</v>
      </c>
      <c r="J96" s="53">
        <f t="shared" si="10"/>
        <v>0</v>
      </c>
      <c r="K96" s="53">
        <f t="shared" si="11"/>
        <v>-132400000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661</v>
      </c>
      <c r="H97" s="36">
        <f t="shared" si="8"/>
        <v>1</v>
      </c>
      <c r="I97" s="11">
        <f t="shared" si="9"/>
        <v>105308280</v>
      </c>
      <c r="J97" s="53">
        <f t="shared" si="10"/>
        <v>45491160</v>
      </c>
      <c r="K97" s="53">
        <f t="shared" si="11"/>
        <v>59817120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656</v>
      </c>
      <c r="H98" s="36">
        <f t="shared" si="8"/>
        <v>1</v>
      </c>
      <c r="I98" s="11">
        <f t="shared" si="9"/>
        <v>74911040</v>
      </c>
      <c r="J98" s="53">
        <f t="shared" si="10"/>
        <v>0</v>
      </c>
      <c r="K98" s="53">
        <f t="shared" si="11"/>
        <v>74911040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653</v>
      </c>
      <c r="H99" s="36">
        <f t="shared" si="8"/>
        <v>0</v>
      </c>
      <c r="I99" s="11">
        <f t="shared" si="9"/>
        <v>-865225000</v>
      </c>
      <c r="J99" s="53">
        <f t="shared" si="10"/>
        <v>0</v>
      </c>
      <c r="K99" s="53">
        <f t="shared" si="11"/>
        <v>-865225000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648</v>
      </c>
      <c r="H100" s="36">
        <f t="shared" si="8"/>
        <v>1</v>
      </c>
      <c r="I100" s="11">
        <f t="shared" si="9"/>
        <v>857275000</v>
      </c>
      <c r="J100" s="53">
        <f t="shared" si="10"/>
        <v>0</v>
      </c>
      <c r="K100" s="53">
        <f t="shared" si="11"/>
        <v>857275000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631</v>
      </c>
      <c r="H101" s="36">
        <f t="shared" si="8"/>
        <v>1</v>
      </c>
      <c r="I101" s="11">
        <f t="shared" si="9"/>
        <v>42112350</v>
      </c>
      <c r="J101" s="53">
        <f t="shared" si="10"/>
        <v>42112350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628</v>
      </c>
      <c r="H102" s="36">
        <f t="shared" si="8"/>
        <v>1</v>
      </c>
      <c r="I102" s="11">
        <f t="shared" si="9"/>
        <v>1881000000</v>
      </c>
      <c r="J102" s="53">
        <f t="shared" si="10"/>
        <v>0</v>
      </c>
      <c r="K102" s="53">
        <f t="shared" si="11"/>
        <v>1881000000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621</v>
      </c>
      <c r="H103" s="36">
        <f t="shared" si="8"/>
        <v>0</v>
      </c>
      <c r="I103" s="11">
        <f t="shared" si="9"/>
        <v>-621000000</v>
      </c>
      <c r="J103" s="53">
        <f t="shared" si="10"/>
        <v>-621000000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611</v>
      </c>
      <c r="H104" s="36">
        <f t="shared" si="8"/>
        <v>1</v>
      </c>
      <c r="I104" s="11">
        <f t="shared" si="9"/>
        <v>1830000000</v>
      </c>
      <c r="J104" s="53">
        <f t="shared" si="10"/>
        <v>1830000000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610</v>
      </c>
      <c r="H105" s="36">
        <f t="shared" si="8"/>
        <v>1</v>
      </c>
      <c r="I105" s="11">
        <f t="shared" si="9"/>
        <v>682080000</v>
      </c>
      <c r="J105" s="53">
        <f t="shared" si="10"/>
        <v>682080000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610</v>
      </c>
      <c r="H106" s="36">
        <f t="shared" si="8"/>
        <v>0</v>
      </c>
      <c r="I106" s="11">
        <f t="shared" si="9"/>
        <v>-1830000000</v>
      </c>
      <c r="J106" s="53">
        <f t="shared" si="10"/>
        <v>0</v>
      </c>
      <c r="K106" s="53">
        <f t="shared" si="11"/>
        <v>-1830000000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601</v>
      </c>
      <c r="H107" s="36">
        <f t="shared" si="8"/>
        <v>1</v>
      </c>
      <c r="I107" s="11">
        <f t="shared" si="9"/>
        <v>54296400</v>
      </c>
      <c r="J107" s="53">
        <f t="shared" si="10"/>
        <v>45069000</v>
      </c>
      <c r="K107" s="53">
        <f t="shared" si="11"/>
        <v>9227400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599</v>
      </c>
      <c r="H108" s="36">
        <f t="shared" si="8"/>
        <v>0</v>
      </c>
      <c r="I108" s="11">
        <f t="shared" si="9"/>
        <v>-1018719300</v>
      </c>
      <c r="J108" s="53">
        <f t="shared" si="10"/>
        <v>0</v>
      </c>
      <c r="K108" s="53">
        <f t="shared" si="11"/>
        <v>-1018719300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595</v>
      </c>
      <c r="H109" s="36">
        <f t="shared" si="8"/>
        <v>0</v>
      </c>
      <c r="I109" s="11">
        <f t="shared" si="9"/>
        <v>-595297500</v>
      </c>
      <c r="J109" s="53">
        <f t="shared" si="10"/>
        <v>0</v>
      </c>
      <c r="K109" s="53">
        <f t="shared" si="11"/>
        <v>-595297500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592</v>
      </c>
      <c r="H110" s="36">
        <f t="shared" si="8"/>
        <v>1</v>
      </c>
      <c r="I110" s="11">
        <f t="shared" si="9"/>
        <v>11820000000</v>
      </c>
      <c r="J110" s="53">
        <f t="shared" si="10"/>
        <v>0</v>
      </c>
      <c r="K110" s="53">
        <f t="shared" si="11"/>
        <v>11820000000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572</v>
      </c>
      <c r="H111" s="36">
        <f t="shared" si="8"/>
        <v>1</v>
      </c>
      <c r="I111" s="11">
        <f t="shared" si="9"/>
        <v>99741138</v>
      </c>
      <c r="J111" s="53">
        <f t="shared" si="10"/>
        <v>49884273</v>
      </c>
      <c r="K111" s="53">
        <f t="shared" si="11"/>
        <v>49856865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556</v>
      </c>
      <c r="H112" s="36">
        <f t="shared" si="8"/>
        <v>0</v>
      </c>
      <c r="I112" s="11">
        <f t="shared" si="9"/>
        <v>-15790400000</v>
      </c>
      <c r="J112" s="53">
        <f t="shared" si="10"/>
        <v>0</v>
      </c>
      <c r="K112" s="53">
        <f t="shared" si="11"/>
        <v>-15790400000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541</v>
      </c>
      <c r="H113" s="36">
        <f t="shared" si="8"/>
        <v>1</v>
      </c>
      <c r="I113" s="11">
        <f t="shared" si="9"/>
        <v>88041600</v>
      </c>
      <c r="J113" s="53">
        <f t="shared" si="10"/>
        <v>66155940</v>
      </c>
      <c r="K113" s="53">
        <f t="shared" si="11"/>
        <v>21885660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541</v>
      </c>
      <c r="H114" s="36">
        <f t="shared" si="8"/>
        <v>0</v>
      </c>
      <c r="I114" s="11">
        <f t="shared" si="9"/>
        <v>-3083700</v>
      </c>
      <c r="J114" s="53">
        <f t="shared" si="10"/>
        <v>-1352500</v>
      </c>
      <c r="K114" s="53">
        <f t="shared" si="11"/>
        <v>-1731200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528</v>
      </c>
      <c r="H115" s="36">
        <f t="shared" si="8"/>
        <v>0</v>
      </c>
      <c r="I115" s="11">
        <f t="shared" si="9"/>
        <v>0</v>
      </c>
      <c r="J115" s="53">
        <f t="shared" si="10"/>
        <v>264000000</v>
      </c>
      <c r="K115" s="53">
        <f t="shared" si="11"/>
        <v>-264000000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520</v>
      </c>
      <c r="H116" s="36">
        <f t="shared" si="8"/>
        <v>0</v>
      </c>
      <c r="I116" s="11">
        <f t="shared" si="9"/>
        <v>-83200000</v>
      </c>
      <c r="J116" s="53">
        <f t="shared" si="10"/>
        <v>0</v>
      </c>
      <c r="K116" s="53">
        <f t="shared" si="11"/>
        <v>-83200000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511</v>
      </c>
      <c r="H117" s="36">
        <f t="shared" si="8"/>
        <v>1</v>
      </c>
      <c r="I117" s="11">
        <f t="shared" si="9"/>
        <v>754800</v>
      </c>
      <c r="J117" s="53">
        <f t="shared" si="10"/>
        <v>54539910</v>
      </c>
      <c r="K117" s="53">
        <f t="shared" si="11"/>
        <v>-53785110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489</v>
      </c>
      <c r="H118" s="36">
        <f t="shared" si="8"/>
        <v>1</v>
      </c>
      <c r="I118" s="11">
        <f t="shared" si="9"/>
        <v>19226956000</v>
      </c>
      <c r="J118" s="53">
        <f t="shared" si="10"/>
        <v>0</v>
      </c>
      <c r="K118" s="53">
        <f t="shared" si="11"/>
        <v>19226956000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480</v>
      </c>
      <c r="H119" s="36">
        <f t="shared" si="8"/>
        <v>1</v>
      </c>
      <c r="I119" s="11">
        <f t="shared" si="9"/>
        <v>45754559</v>
      </c>
      <c r="J119" s="53">
        <f t="shared" si="10"/>
        <v>52715866</v>
      </c>
      <c r="K119" s="53">
        <f t="shared" si="11"/>
        <v>-6961307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476</v>
      </c>
      <c r="H120" s="11">
        <f t="shared" si="8"/>
        <v>1</v>
      </c>
      <c r="I120" s="11">
        <f t="shared" ref="I120:I266" si="13">B120*(G120-H120)</f>
        <v>950000000</v>
      </c>
      <c r="J120" s="11">
        <f t="shared" si="10"/>
        <v>0</v>
      </c>
      <c r="K120" s="11">
        <f t="shared" si="11"/>
        <v>950000000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450</v>
      </c>
      <c r="H121" s="11">
        <f t="shared" si="8"/>
        <v>1</v>
      </c>
      <c r="I121" s="11">
        <f t="shared" si="13"/>
        <v>1167400000</v>
      </c>
      <c r="J121" s="11">
        <f t="shared" si="10"/>
        <v>0</v>
      </c>
      <c r="K121" s="11">
        <f t="shared" si="11"/>
        <v>1167400000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449</v>
      </c>
      <c r="H122" s="11">
        <f t="shared" si="8"/>
        <v>1</v>
      </c>
      <c r="I122" s="11">
        <f t="shared" si="13"/>
        <v>172278848</v>
      </c>
      <c r="J122" s="11">
        <f t="shared" si="10"/>
        <v>49686784</v>
      </c>
      <c r="K122" s="11">
        <f t="shared" si="11"/>
        <v>122592064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448</v>
      </c>
      <c r="H123" s="11">
        <f t="shared" si="8"/>
        <v>0</v>
      </c>
      <c r="I123" s="11">
        <f t="shared" si="13"/>
        <v>0</v>
      </c>
      <c r="J123" s="11">
        <f t="shared" si="10"/>
        <v>358400000</v>
      </c>
      <c r="K123" s="11">
        <f t="shared" si="11"/>
        <v>-358400000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434</v>
      </c>
      <c r="H124" s="11">
        <f t="shared" si="8"/>
        <v>0</v>
      </c>
      <c r="I124" s="11">
        <f t="shared" si="13"/>
        <v>-1302000000</v>
      </c>
      <c r="J124" s="11">
        <f t="shared" si="10"/>
        <v>0</v>
      </c>
      <c r="K124" s="11">
        <f t="shared" si="11"/>
        <v>-1302000000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419</v>
      </c>
      <c r="H125" s="11">
        <f t="shared" si="8"/>
        <v>1</v>
      </c>
      <c r="I125" s="11">
        <f t="shared" si="13"/>
        <v>167496780</v>
      </c>
      <c r="J125" s="11">
        <f t="shared" si="10"/>
        <v>49689750</v>
      </c>
      <c r="K125" s="11">
        <f t="shared" si="11"/>
        <v>117807030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419</v>
      </c>
      <c r="H126" s="11">
        <f t="shared" si="8"/>
        <v>1</v>
      </c>
      <c r="I126" s="11">
        <f t="shared" si="13"/>
        <v>17556000000</v>
      </c>
      <c r="J126" s="11">
        <f t="shared" si="10"/>
        <v>0</v>
      </c>
      <c r="K126" s="11">
        <f t="shared" si="11"/>
        <v>17556000000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394</v>
      </c>
      <c r="H127" s="11">
        <f t="shared" si="8"/>
        <v>0</v>
      </c>
      <c r="I127" s="11">
        <f t="shared" si="13"/>
        <v>-1970000</v>
      </c>
      <c r="J127" s="11">
        <f t="shared" si="10"/>
        <v>0</v>
      </c>
      <c r="K127" s="11">
        <f t="shared" si="11"/>
        <v>-1970000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388</v>
      </c>
      <c r="H128" s="11">
        <f t="shared" si="8"/>
        <v>1</v>
      </c>
      <c r="I128" s="11">
        <f t="shared" si="13"/>
        <v>298521738</v>
      </c>
      <c r="J128" s="11">
        <f t="shared" si="10"/>
        <v>46709739</v>
      </c>
      <c r="K128" s="11">
        <f t="shared" si="11"/>
        <v>251811999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385</v>
      </c>
      <c r="H129" s="11">
        <f t="shared" si="8"/>
        <v>1</v>
      </c>
      <c r="I129" s="11">
        <f t="shared" si="13"/>
        <v>960000000</v>
      </c>
      <c r="J129" s="11">
        <f t="shared" si="10"/>
        <v>0</v>
      </c>
      <c r="K129" s="11">
        <f t="shared" si="11"/>
        <v>960000000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371</v>
      </c>
      <c r="H130" s="11">
        <f t="shared" si="8"/>
        <v>0</v>
      </c>
      <c r="I130" s="11">
        <f t="shared" si="13"/>
        <v>-371000000</v>
      </c>
      <c r="J130" s="11">
        <f t="shared" si="10"/>
        <v>-371000000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366</v>
      </c>
      <c r="H131" s="11">
        <f t="shared" si="8"/>
        <v>0</v>
      </c>
      <c r="I131" s="11">
        <f t="shared" si="13"/>
        <v>-18300000000</v>
      </c>
      <c r="J131" s="11">
        <f t="shared" si="10"/>
        <v>0</v>
      </c>
      <c r="K131" s="11">
        <f t="shared" si="11"/>
        <v>-18300000000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358</v>
      </c>
      <c r="H132" s="11">
        <f t="shared" ref="H132:H266" si="15">IF(B132&gt;0,1,0)</f>
        <v>1</v>
      </c>
      <c r="I132" s="11">
        <f t="shared" si="13"/>
        <v>219300459</v>
      </c>
      <c r="J132" s="11">
        <f t="shared" ref="J132:J206" si="16">C132*(G132-H132)</f>
        <v>37831647</v>
      </c>
      <c r="K132" s="11">
        <f t="shared" ref="K132:K266" si="17">D132*(G132-H132)</f>
        <v>181468812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354</v>
      </c>
      <c r="H133" s="11">
        <f t="shared" si="15"/>
        <v>0</v>
      </c>
      <c r="I133" s="11">
        <f t="shared" si="13"/>
        <v>-428587800</v>
      </c>
      <c r="J133" s="11">
        <f t="shared" si="16"/>
        <v>0</v>
      </c>
      <c r="K133" s="11">
        <f t="shared" si="17"/>
        <v>-428587800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345</v>
      </c>
      <c r="H134" s="11">
        <f t="shared" si="15"/>
        <v>0</v>
      </c>
      <c r="I134" s="11">
        <f t="shared" si="13"/>
        <v>-22425000</v>
      </c>
      <c r="J134" s="11">
        <f t="shared" si="16"/>
        <v>0</v>
      </c>
      <c r="K134" s="11">
        <f t="shared" si="17"/>
        <v>-22425000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345</v>
      </c>
      <c r="H135" s="11">
        <f t="shared" si="15"/>
        <v>0</v>
      </c>
      <c r="I135" s="11">
        <f t="shared" si="13"/>
        <v>-11143500</v>
      </c>
      <c r="J135" s="11">
        <f t="shared" si="16"/>
        <v>0</v>
      </c>
      <c r="K135" s="11">
        <f t="shared" si="17"/>
        <v>-11143500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337</v>
      </c>
      <c r="H136" s="11">
        <f t="shared" si="15"/>
        <v>0</v>
      </c>
      <c r="I136" s="11">
        <f t="shared" si="13"/>
        <v>-337000000</v>
      </c>
      <c r="J136" s="11">
        <f t="shared" si="16"/>
        <v>-337000000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328</v>
      </c>
      <c r="H137" s="11">
        <f t="shared" si="15"/>
        <v>1</v>
      </c>
      <c r="I137" s="11">
        <f t="shared" si="13"/>
        <v>95115471</v>
      </c>
      <c r="J137" s="11">
        <f t="shared" si="16"/>
        <v>31836393</v>
      </c>
      <c r="K137" s="11">
        <f t="shared" si="17"/>
        <v>63279078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311</v>
      </c>
      <c r="H138" s="11">
        <f t="shared" si="15"/>
        <v>0</v>
      </c>
      <c r="I138" s="11">
        <f t="shared" si="13"/>
        <v>-311155500</v>
      </c>
      <c r="J138" s="11">
        <f t="shared" si="16"/>
        <v>-311155500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299</v>
      </c>
      <c r="H139" s="11">
        <f t="shared" si="15"/>
        <v>1</v>
      </c>
      <c r="I139" s="11">
        <f t="shared" si="13"/>
        <v>84107520</v>
      </c>
      <c r="J139" s="11">
        <f t="shared" si="16"/>
        <v>26464486</v>
      </c>
      <c r="K139" s="11">
        <f t="shared" si="17"/>
        <v>57643034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296</v>
      </c>
      <c r="H140" s="11">
        <f t="shared" si="15"/>
        <v>1</v>
      </c>
      <c r="I140" s="11">
        <f t="shared" si="13"/>
        <v>442500000</v>
      </c>
      <c r="J140" s="11">
        <f t="shared" si="16"/>
        <v>0</v>
      </c>
      <c r="K140" s="11">
        <f t="shared" si="17"/>
        <v>442500000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283</v>
      </c>
      <c r="H141" s="11">
        <f t="shared" si="15"/>
        <v>0</v>
      </c>
      <c r="I141" s="11">
        <f t="shared" si="13"/>
        <v>0</v>
      </c>
      <c r="J141" s="11">
        <f t="shared" si="16"/>
        <v>-283000000</v>
      </c>
      <c r="K141" s="11">
        <f t="shared" si="17"/>
        <v>283000000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269</v>
      </c>
      <c r="H142" s="11">
        <f t="shared" si="15"/>
        <v>1</v>
      </c>
      <c r="I142" s="11">
        <f t="shared" si="13"/>
        <v>77959324</v>
      </c>
      <c r="J142" s="11">
        <f t="shared" si="16"/>
        <v>21713896</v>
      </c>
      <c r="K142" s="11">
        <f t="shared" si="17"/>
        <v>56245428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249</v>
      </c>
      <c r="H143" s="11">
        <f t="shared" si="15"/>
        <v>0</v>
      </c>
      <c r="I143" s="11">
        <f t="shared" si="13"/>
        <v>0</v>
      </c>
      <c r="J143" s="11">
        <f t="shared" si="16"/>
        <v>-249000000</v>
      </c>
      <c r="K143" s="11">
        <f t="shared" si="17"/>
        <v>249000000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239</v>
      </c>
      <c r="H144" s="11">
        <f t="shared" si="15"/>
        <v>1</v>
      </c>
      <c r="I144" s="11">
        <f t="shared" si="13"/>
        <v>70174776</v>
      </c>
      <c r="J144" s="11">
        <f t="shared" si="16"/>
        <v>17768366</v>
      </c>
      <c r="K144" s="11">
        <f t="shared" si="17"/>
        <v>52406410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224</v>
      </c>
      <c r="H145" s="11">
        <f t="shared" si="15"/>
        <v>0</v>
      </c>
      <c r="I145" s="11">
        <f t="shared" si="13"/>
        <v>-2240000</v>
      </c>
      <c r="J145" s="11">
        <f t="shared" si="16"/>
        <v>-1120000</v>
      </c>
      <c r="K145" s="11">
        <f t="shared" si="17"/>
        <v>-1120000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219</v>
      </c>
      <c r="H146" s="11">
        <f t="shared" si="15"/>
        <v>0</v>
      </c>
      <c r="I146" s="11">
        <f t="shared" si="13"/>
        <v>-219109500</v>
      </c>
      <c r="J146" s="11">
        <f t="shared" si="16"/>
        <v>-219109500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213</v>
      </c>
      <c r="H147" s="11">
        <f t="shared" si="15"/>
        <v>0</v>
      </c>
      <c r="I147" s="11">
        <f t="shared" si="13"/>
        <v>-5751000000</v>
      </c>
      <c r="J147" s="11">
        <f t="shared" si="16"/>
        <v>0</v>
      </c>
      <c r="K147" s="11">
        <f t="shared" si="17"/>
        <v>-5751000000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210</v>
      </c>
      <c r="H148" s="11">
        <f t="shared" si="15"/>
        <v>1</v>
      </c>
      <c r="I148" s="11">
        <f t="shared" si="13"/>
        <v>52759124</v>
      </c>
      <c r="J148" s="11">
        <f t="shared" si="16"/>
        <v>13691590</v>
      </c>
      <c r="K148" s="11">
        <f t="shared" si="17"/>
        <v>39067534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202</v>
      </c>
      <c r="H149" s="11">
        <f t="shared" si="15"/>
        <v>1</v>
      </c>
      <c r="I149" s="11">
        <f t="shared" si="13"/>
        <v>10532400000</v>
      </c>
      <c r="J149" s="11">
        <f t="shared" si="16"/>
        <v>0</v>
      </c>
      <c r="K149" s="11">
        <f t="shared" si="17"/>
        <v>10532400000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195</v>
      </c>
      <c r="H150" s="11">
        <f t="shared" si="15"/>
        <v>0</v>
      </c>
      <c r="I150" s="11">
        <f t="shared" si="13"/>
        <v>-10140000000</v>
      </c>
      <c r="J150" s="11">
        <f t="shared" si="16"/>
        <v>0</v>
      </c>
      <c r="K150" s="11">
        <f t="shared" si="17"/>
        <v>-10140000000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190</v>
      </c>
      <c r="H151" s="99">
        <f t="shared" si="15"/>
        <v>0</v>
      </c>
      <c r="I151" s="99">
        <f t="shared" si="13"/>
        <v>-1520000000</v>
      </c>
      <c r="J151" s="99">
        <f t="shared" si="16"/>
        <v>-1286704890</v>
      </c>
      <c r="K151" s="11">
        <f t="shared" si="17"/>
        <v>-233295110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190</v>
      </c>
      <c r="H152" s="99">
        <f t="shared" si="15"/>
        <v>0</v>
      </c>
      <c r="I152" s="99">
        <f t="shared" si="13"/>
        <v>-5933700</v>
      </c>
      <c r="J152" s="99">
        <f t="shared" si="16"/>
        <v>0</v>
      </c>
      <c r="K152" s="99">
        <f t="shared" si="17"/>
        <v>-5933700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179</v>
      </c>
      <c r="H153" s="99">
        <f t="shared" si="15"/>
        <v>1</v>
      </c>
      <c r="I153" s="99">
        <f t="shared" si="13"/>
        <v>24045486</v>
      </c>
      <c r="J153" s="99">
        <f t="shared" si="16"/>
        <v>7321140</v>
      </c>
      <c r="K153" s="99">
        <f t="shared" si="17"/>
        <v>16724346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176</v>
      </c>
      <c r="H154" s="99">
        <f t="shared" si="15"/>
        <v>1</v>
      </c>
      <c r="I154" s="99">
        <f t="shared" si="13"/>
        <v>1194214350</v>
      </c>
      <c r="J154" s="99">
        <f t="shared" si="16"/>
        <v>1194214350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171</v>
      </c>
      <c r="H155" s="99">
        <f t="shared" si="15"/>
        <v>0</v>
      </c>
      <c r="I155" s="99">
        <f t="shared" si="13"/>
        <v>-34200000</v>
      </c>
      <c r="J155" s="99">
        <f t="shared" si="16"/>
        <v>0</v>
      </c>
      <c r="K155" s="99">
        <f t="shared" si="17"/>
        <v>-34200000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171</v>
      </c>
      <c r="H156" s="99">
        <f t="shared" si="15"/>
        <v>0</v>
      </c>
      <c r="I156" s="99">
        <f t="shared" si="13"/>
        <v>-42380640</v>
      </c>
      <c r="J156" s="99">
        <f t="shared" si="16"/>
        <v>0</v>
      </c>
      <c r="K156" s="99">
        <f t="shared" si="17"/>
        <v>-42380640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170</v>
      </c>
      <c r="H157" s="99">
        <f t="shared" si="15"/>
        <v>0</v>
      </c>
      <c r="I157" s="99">
        <f t="shared" si="13"/>
        <v>-27597800</v>
      </c>
      <c r="J157" s="99">
        <f t="shared" si="16"/>
        <v>0</v>
      </c>
      <c r="K157" s="99">
        <f t="shared" si="17"/>
        <v>-27597800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170</v>
      </c>
      <c r="H158" s="99">
        <f t="shared" si="15"/>
        <v>0</v>
      </c>
      <c r="I158" s="99">
        <f t="shared" si="13"/>
        <v>-510153000</v>
      </c>
      <c r="J158" s="99">
        <f t="shared" si="16"/>
        <v>0</v>
      </c>
      <c r="K158" s="99">
        <f t="shared" si="17"/>
        <v>-510153000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168</v>
      </c>
      <c r="H159" s="99">
        <f t="shared" si="15"/>
        <v>0</v>
      </c>
      <c r="I159" s="99">
        <f t="shared" si="13"/>
        <v>-168084000</v>
      </c>
      <c r="J159" s="99">
        <f t="shared" si="16"/>
        <v>0</v>
      </c>
      <c r="K159" s="99">
        <f t="shared" si="17"/>
        <v>-168084000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164</v>
      </c>
      <c r="H160" s="99">
        <f t="shared" si="15"/>
        <v>0</v>
      </c>
      <c r="I160" s="99">
        <f t="shared" si="13"/>
        <v>-16400000</v>
      </c>
      <c r="J160" s="99">
        <f t="shared" si="16"/>
        <v>0</v>
      </c>
      <c r="K160" s="99">
        <f t="shared" si="17"/>
        <v>-16400000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163</v>
      </c>
      <c r="H161" s="99">
        <f t="shared" si="15"/>
        <v>0</v>
      </c>
      <c r="I161" s="99">
        <f t="shared" si="13"/>
        <v>-326000000</v>
      </c>
      <c r="J161" s="99">
        <f t="shared" si="16"/>
        <v>0</v>
      </c>
      <c r="K161" s="99">
        <f t="shared" si="17"/>
        <v>-326000000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163</v>
      </c>
      <c r="H162" s="99">
        <f t="shared" si="15"/>
        <v>0</v>
      </c>
      <c r="I162" s="99">
        <f t="shared" si="13"/>
        <v>-163081500</v>
      </c>
      <c r="J162" s="99">
        <f t="shared" si="16"/>
        <v>0</v>
      </c>
      <c r="K162" s="99">
        <f t="shared" si="17"/>
        <v>-163081500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160</v>
      </c>
      <c r="H163" s="99">
        <f t="shared" si="15"/>
        <v>0</v>
      </c>
      <c r="I163" s="99">
        <f t="shared" si="13"/>
        <v>-800000</v>
      </c>
      <c r="J163" s="99">
        <f t="shared" si="16"/>
        <v>0</v>
      </c>
      <c r="K163" s="99">
        <f t="shared" si="17"/>
        <v>-800000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150</v>
      </c>
      <c r="H164" s="99">
        <f t="shared" si="15"/>
        <v>1</v>
      </c>
      <c r="I164" s="99">
        <f t="shared" si="13"/>
        <v>447000000</v>
      </c>
      <c r="J164" s="99">
        <f t="shared" si="16"/>
        <v>0</v>
      </c>
      <c r="K164" s="99">
        <f t="shared" si="17"/>
        <v>447000000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149</v>
      </c>
      <c r="H165" s="99">
        <f t="shared" si="15"/>
        <v>1</v>
      </c>
      <c r="I165" s="99">
        <f t="shared" si="13"/>
        <v>444000000</v>
      </c>
      <c r="J165" s="99">
        <f t="shared" si="16"/>
        <v>0</v>
      </c>
      <c r="K165" s="99">
        <f t="shared" si="17"/>
        <v>444000000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148</v>
      </c>
      <c r="H166" s="99">
        <f t="shared" si="15"/>
        <v>1</v>
      </c>
      <c r="I166" s="99">
        <f t="shared" si="13"/>
        <v>2986158</v>
      </c>
      <c r="J166" s="99">
        <f t="shared" si="16"/>
        <v>8796774</v>
      </c>
      <c r="K166" s="99">
        <f t="shared" si="17"/>
        <v>-5810616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143</v>
      </c>
      <c r="H167" s="99">
        <f t="shared" si="15"/>
        <v>0</v>
      </c>
      <c r="I167" s="99">
        <f t="shared" si="13"/>
        <v>-429128700</v>
      </c>
      <c r="J167" s="99">
        <f t="shared" si="16"/>
        <v>0</v>
      </c>
      <c r="K167" s="99">
        <f t="shared" si="17"/>
        <v>-429128700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125</v>
      </c>
      <c r="H168" s="99">
        <f t="shared" si="15"/>
        <v>0</v>
      </c>
      <c r="I168" s="99">
        <f t="shared" si="13"/>
        <v>-375112500</v>
      </c>
      <c r="J168" s="99">
        <f t="shared" si="16"/>
        <v>0</v>
      </c>
      <c r="K168" s="99">
        <f t="shared" si="17"/>
        <v>-375112500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117</v>
      </c>
      <c r="H169" s="99">
        <f t="shared" si="15"/>
        <v>1</v>
      </c>
      <c r="I169" s="99">
        <f t="shared" si="13"/>
        <v>2517780</v>
      </c>
      <c r="J169" s="99">
        <f t="shared" si="16"/>
        <v>7947740</v>
      </c>
      <c r="K169" s="99">
        <f t="shared" si="17"/>
        <v>-5429960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93</v>
      </c>
      <c r="H170" s="99">
        <f t="shared" si="15"/>
        <v>1</v>
      </c>
      <c r="I170" s="99">
        <f t="shared" si="13"/>
        <v>460000000</v>
      </c>
      <c r="J170" s="99">
        <f t="shared" si="16"/>
        <v>0</v>
      </c>
      <c r="K170" s="99">
        <f t="shared" si="17"/>
        <v>460000000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92</v>
      </c>
      <c r="H171" s="99">
        <f t="shared" si="15"/>
        <v>0</v>
      </c>
      <c r="I171" s="99">
        <f t="shared" si="13"/>
        <v>-460000000</v>
      </c>
      <c r="J171" s="99">
        <f t="shared" si="16"/>
        <v>0</v>
      </c>
      <c r="K171" s="99">
        <f t="shared" si="17"/>
        <v>-460000000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86</v>
      </c>
      <c r="H172" s="99">
        <f t="shared" si="15"/>
        <v>1</v>
      </c>
      <c r="I172" s="99">
        <f t="shared" si="13"/>
        <v>42160</v>
      </c>
      <c r="J172" s="99">
        <f t="shared" si="16"/>
        <v>5327885</v>
      </c>
      <c r="K172" s="99">
        <f t="shared" si="17"/>
        <v>-5285725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85</v>
      </c>
      <c r="H173" s="99">
        <f t="shared" si="15"/>
        <v>1</v>
      </c>
      <c r="I173" s="99">
        <f t="shared" si="13"/>
        <v>65940000</v>
      </c>
      <c r="J173" s="99">
        <f t="shared" si="16"/>
        <v>0</v>
      </c>
      <c r="K173" s="99">
        <f t="shared" si="17"/>
        <v>65940000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74</v>
      </c>
      <c r="H174" s="99">
        <f t="shared" si="15"/>
        <v>0</v>
      </c>
      <c r="I174" s="99">
        <f t="shared" si="13"/>
        <v>-2368000</v>
      </c>
      <c r="J174" s="99">
        <f t="shared" si="16"/>
        <v>0</v>
      </c>
      <c r="K174" s="99">
        <f t="shared" si="17"/>
        <v>-2368000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72</v>
      </c>
      <c r="H175" s="99">
        <f t="shared" si="15"/>
        <v>0</v>
      </c>
      <c r="I175" s="99">
        <f t="shared" si="13"/>
        <v>-54000000</v>
      </c>
      <c r="J175" s="99">
        <f t="shared" si="16"/>
        <v>0</v>
      </c>
      <c r="K175" s="99">
        <f t="shared" si="17"/>
        <v>-54000000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63</v>
      </c>
      <c r="H176" s="99">
        <f t="shared" si="15"/>
        <v>0</v>
      </c>
      <c r="I176" s="99">
        <f t="shared" si="13"/>
        <v>-591948</v>
      </c>
      <c r="J176" s="99">
        <f t="shared" si="16"/>
        <v>0</v>
      </c>
      <c r="K176" s="99">
        <f t="shared" si="17"/>
        <v>-591948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62</v>
      </c>
      <c r="H177" s="99">
        <f t="shared" si="15"/>
        <v>0</v>
      </c>
      <c r="I177" s="99">
        <f t="shared" si="13"/>
        <v>-2684600</v>
      </c>
      <c r="J177" s="99">
        <f t="shared" si="16"/>
        <v>0</v>
      </c>
      <c r="K177" s="99">
        <f t="shared" si="17"/>
        <v>-2684600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59</v>
      </c>
      <c r="H178" s="99">
        <f t="shared" si="15"/>
        <v>1</v>
      </c>
      <c r="I178" s="99">
        <f t="shared" si="13"/>
        <v>20880000</v>
      </c>
      <c r="J178" s="99">
        <f t="shared" si="16"/>
        <v>0</v>
      </c>
      <c r="K178" s="99">
        <f t="shared" si="17"/>
        <v>20880000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57</v>
      </c>
      <c r="H179" s="99">
        <f t="shared" si="15"/>
        <v>1</v>
      </c>
      <c r="I179" s="99">
        <f t="shared" si="13"/>
        <v>168000000</v>
      </c>
      <c r="J179" s="99">
        <f t="shared" si="16"/>
        <v>0</v>
      </c>
      <c r="K179" s="99">
        <f t="shared" si="17"/>
        <v>168000000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57</v>
      </c>
      <c r="H180" s="99">
        <f t="shared" si="15"/>
        <v>0</v>
      </c>
      <c r="I180" s="99">
        <f t="shared" si="13"/>
        <v>-686850</v>
      </c>
      <c r="J180" s="99">
        <f t="shared" si="16"/>
        <v>0</v>
      </c>
      <c r="K180" s="99">
        <f t="shared" si="17"/>
        <v>-686850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55</v>
      </c>
      <c r="H181" s="99">
        <f t="shared" si="15"/>
        <v>1</v>
      </c>
      <c r="I181" s="99">
        <f t="shared" si="13"/>
        <v>162000000</v>
      </c>
      <c r="J181" s="99">
        <f t="shared" si="16"/>
        <v>0</v>
      </c>
      <c r="K181" s="99">
        <f t="shared" si="17"/>
        <v>162000000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53</v>
      </c>
      <c r="H182" s="99">
        <f t="shared" si="15"/>
        <v>0</v>
      </c>
      <c r="I182" s="99">
        <f t="shared" si="13"/>
        <v>-1897400</v>
      </c>
      <c r="J182" s="99">
        <f t="shared" si="16"/>
        <v>0</v>
      </c>
      <c r="K182" s="99">
        <f t="shared" si="17"/>
        <v>-1897400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52</v>
      </c>
      <c r="H183" s="99">
        <f t="shared" si="15"/>
        <v>1</v>
      </c>
      <c r="I183" s="99">
        <f t="shared" si="13"/>
        <v>183600000</v>
      </c>
      <c r="J183" s="99">
        <f t="shared" si="16"/>
        <v>0</v>
      </c>
      <c r="K183" s="99">
        <f t="shared" si="17"/>
        <v>183600000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52</v>
      </c>
      <c r="H184" s="99">
        <f t="shared" si="15"/>
        <v>0</v>
      </c>
      <c r="I184" s="99">
        <f t="shared" si="13"/>
        <v>-1735604</v>
      </c>
      <c r="J184" s="99">
        <f t="shared" si="16"/>
        <v>0</v>
      </c>
      <c r="K184" s="99">
        <f t="shared" si="17"/>
        <v>-1735604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49</v>
      </c>
      <c r="H185" s="99">
        <f t="shared" si="15"/>
        <v>0</v>
      </c>
      <c r="I185" s="99">
        <f t="shared" si="13"/>
        <v>-480200000</v>
      </c>
      <c r="J185" s="99">
        <f t="shared" si="16"/>
        <v>0</v>
      </c>
      <c r="K185" s="99">
        <f t="shared" si="17"/>
        <v>-480200000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49</v>
      </c>
      <c r="H186" s="99">
        <f t="shared" si="15"/>
        <v>1</v>
      </c>
      <c r="I186" s="99">
        <f t="shared" si="13"/>
        <v>864000000</v>
      </c>
      <c r="J186" s="99">
        <f t="shared" si="16"/>
        <v>0</v>
      </c>
      <c r="K186" s="99">
        <f t="shared" si="17"/>
        <v>864000000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49</v>
      </c>
      <c r="H187" s="99">
        <f t="shared" si="15"/>
        <v>0</v>
      </c>
      <c r="I187" s="99">
        <f t="shared" si="13"/>
        <v>-441000000</v>
      </c>
      <c r="J187" s="99">
        <f t="shared" si="16"/>
        <v>0</v>
      </c>
      <c r="K187" s="99">
        <f t="shared" si="17"/>
        <v>-441000000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49</v>
      </c>
      <c r="H188" s="99">
        <f t="shared" si="15"/>
        <v>0</v>
      </c>
      <c r="I188" s="99">
        <f t="shared" si="13"/>
        <v>-568400</v>
      </c>
      <c r="J188" s="99">
        <f t="shared" si="16"/>
        <v>0</v>
      </c>
      <c r="K188" s="99">
        <f t="shared" si="17"/>
        <v>-568400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49</v>
      </c>
      <c r="H189" s="99">
        <f t="shared" si="15"/>
        <v>0</v>
      </c>
      <c r="I189" s="99">
        <f t="shared" si="13"/>
        <v>-161912023</v>
      </c>
      <c r="J189" s="99">
        <f t="shared" si="16"/>
        <v>0</v>
      </c>
      <c r="K189" s="99">
        <f t="shared" si="17"/>
        <v>-161912023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48</v>
      </c>
      <c r="H190" s="99">
        <f t="shared" si="15"/>
        <v>0</v>
      </c>
      <c r="I190" s="99">
        <f t="shared" si="13"/>
        <v>-144043200</v>
      </c>
      <c r="J190" s="99">
        <f t="shared" si="16"/>
        <v>0</v>
      </c>
      <c r="K190" s="99">
        <f t="shared" si="17"/>
        <v>-144043200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47</v>
      </c>
      <c r="H191" s="99">
        <f t="shared" si="15"/>
        <v>0</v>
      </c>
      <c r="I191" s="99">
        <f t="shared" si="13"/>
        <v>-129762300</v>
      </c>
      <c r="J191" s="99">
        <f t="shared" si="16"/>
        <v>0</v>
      </c>
      <c r="K191" s="99">
        <f t="shared" si="17"/>
        <v>-129762300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42</v>
      </c>
      <c r="H192" s="99">
        <f t="shared" si="15"/>
        <v>1</v>
      </c>
      <c r="I192" s="99">
        <f t="shared" si="13"/>
        <v>41000000</v>
      </c>
      <c r="J192" s="99">
        <f t="shared" si="16"/>
        <v>0</v>
      </c>
      <c r="K192" s="99">
        <f t="shared" si="17"/>
        <v>41000000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41</v>
      </c>
      <c r="H193" s="99">
        <f t="shared" si="15"/>
        <v>0</v>
      </c>
      <c r="I193" s="99">
        <f t="shared" si="13"/>
        <v>-615000</v>
      </c>
      <c r="J193" s="99">
        <f t="shared" si="16"/>
        <v>0</v>
      </c>
      <c r="K193" s="99">
        <f t="shared" si="17"/>
        <v>-615000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39</v>
      </c>
      <c r="H194" s="99">
        <f t="shared" si="15"/>
        <v>0</v>
      </c>
      <c r="I194" s="99">
        <f t="shared" si="13"/>
        <v>-38610000</v>
      </c>
      <c r="J194" s="99">
        <f t="shared" si="16"/>
        <v>0</v>
      </c>
      <c r="K194" s="99">
        <f t="shared" si="17"/>
        <v>-38610000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39</v>
      </c>
      <c r="H195" s="99">
        <f t="shared" si="15"/>
        <v>1</v>
      </c>
      <c r="I195" s="99">
        <f t="shared" si="13"/>
        <v>29754000</v>
      </c>
      <c r="J195" s="99">
        <f t="shared" si="16"/>
        <v>0</v>
      </c>
      <c r="K195" s="99">
        <f t="shared" si="17"/>
        <v>29754000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37</v>
      </c>
      <c r="H196" s="99">
        <f t="shared" si="15"/>
        <v>0</v>
      </c>
      <c r="I196" s="99">
        <f t="shared" si="13"/>
        <v>-27768500</v>
      </c>
      <c r="J196" s="99">
        <f t="shared" si="16"/>
        <v>0</v>
      </c>
      <c r="K196" s="99">
        <f t="shared" si="17"/>
        <v>-27768500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35</v>
      </c>
      <c r="H197" s="99">
        <f t="shared" si="15"/>
        <v>1</v>
      </c>
      <c r="I197" s="99">
        <f t="shared" si="13"/>
        <v>23800000</v>
      </c>
      <c r="J197" s="99">
        <f t="shared" si="16"/>
        <v>0</v>
      </c>
      <c r="K197" s="99">
        <f t="shared" si="17"/>
        <v>23800000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35</v>
      </c>
      <c r="H198" s="99">
        <f t="shared" si="15"/>
        <v>0</v>
      </c>
      <c r="I198" s="99">
        <f t="shared" si="13"/>
        <v>-3465000</v>
      </c>
      <c r="J198" s="99">
        <f t="shared" si="16"/>
        <v>0</v>
      </c>
      <c r="K198" s="99">
        <f t="shared" si="17"/>
        <v>-3465000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34</v>
      </c>
      <c r="H199" s="99">
        <f t="shared" si="15"/>
        <v>0</v>
      </c>
      <c r="I199" s="99">
        <f t="shared" si="13"/>
        <v>-6995500</v>
      </c>
      <c r="J199" s="99">
        <f t="shared" si="16"/>
        <v>0</v>
      </c>
      <c r="K199" s="99">
        <f t="shared" si="17"/>
        <v>-6995500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34</v>
      </c>
      <c r="H200" s="99">
        <f t="shared" si="15"/>
        <v>0</v>
      </c>
      <c r="I200" s="99">
        <f t="shared" si="13"/>
        <v>-3230000</v>
      </c>
      <c r="J200" s="99">
        <f t="shared" si="16"/>
        <v>0</v>
      </c>
      <c r="K200" s="99">
        <f t="shared" si="17"/>
        <v>-3230000</v>
      </c>
    </row>
    <row r="201" spans="1:11" x14ac:dyDescent="0.25">
      <c r="A201" s="99" t="s">
        <v>4163</v>
      </c>
      <c r="B201" s="18">
        <v>48650000</v>
      </c>
      <c r="C201" s="18">
        <v>0</v>
      </c>
      <c r="D201" s="18">
        <f t="shared" si="18"/>
        <v>48650000</v>
      </c>
      <c r="E201" s="99" t="s">
        <v>4164</v>
      </c>
      <c r="F201" s="99">
        <v>0</v>
      </c>
      <c r="G201" s="36">
        <f t="shared" si="14"/>
        <v>31</v>
      </c>
      <c r="H201" s="99">
        <f t="shared" si="15"/>
        <v>1</v>
      </c>
      <c r="I201" s="99">
        <f t="shared" si="13"/>
        <v>1459500000</v>
      </c>
      <c r="J201" s="99">
        <f t="shared" si="16"/>
        <v>0</v>
      </c>
      <c r="K201" s="99">
        <f t="shared" si="17"/>
        <v>1459500000</v>
      </c>
    </row>
    <row r="202" spans="1:11" x14ac:dyDescent="0.25">
      <c r="A202" s="99" t="s">
        <v>4163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31</v>
      </c>
      <c r="H202" s="99">
        <f t="shared" si="15"/>
        <v>0</v>
      </c>
      <c r="I202" s="99">
        <f t="shared" si="13"/>
        <v>-93027900</v>
      </c>
      <c r="J202" s="99">
        <f t="shared" si="16"/>
        <v>0</v>
      </c>
      <c r="K202" s="99">
        <f t="shared" si="17"/>
        <v>-93027900</v>
      </c>
    </row>
    <row r="203" spans="1:11" x14ac:dyDescent="0.25">
      <c r="A203" s="99" t="s">
        <v>4163</v>
      </c>
      <c r="B203" s="18">
        <v>-5000</v>
      </c>
      <c r="C203" s="18">
        <v>0</v>
      </c>
      <c r="D203" s="18">
        <f t="shared" si="18"/>
        <v>-5000</v>
      </c>
      <c r="E203" s="99" t="s">
        <v>4165</v>
      </c>
      <c r="F203" s="99">
        <v>0</v>
      </c>
      <c r="G203" s="36">
        <f t="shared" si="14"/>
        <v>31</v>
      </c>
      <c r="H203" s="99">
        <f t="shared" si="15"/>
        <v>0</v>
      </c>
      <c r="I203" s="99">
        <f t="shared" si="13"/>
        <v>-155000</v>
      </c>
      <c r="J203" s="99">
        <f t="shared" si="16"/>
        <v>0</v>
      </c>
      <c r="K203" s="99">
        <f t="shared" si="17"/>
        <v>-155000</v>
      </c>
    </row>
    <row r="204" spans="1:11" x14ac:dyDescent="0.25">
      <c r="A204" s="99" t="s">
        <v>4163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31</v>
      </c>
      <c r="H204" s="99">
        <f t="shared" si="15"/>
        <v>0</v>
      </c>
      <c r="I204" s="99">
        <f t="shared" si="13"/>
        <v>-1038500000</v>
      </c>
      <c r="J204" s="99">
        <f t="shared" si="16"/>
        <v>0</v>
      </c>
      <c r="K204" s="99">
        <f t="shared" si="17"/>
        <v>-1038500000</v>
      </c>
    </row>
    <row r="205" spans="1:11" x14ac:dyDescent="0.25">
      <c r="A205" s="11" t="s">
        <v>4171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30</v>
      </c>
      <c r="H205" s="99">
        <f t="shared" si="15"/>
        <v>0</v>
      </c>
      <c r="I205" s="99">
        <f t="shared" si="13"/>
        <v>-373050000</v>
      </c>
      <c r="J205" s="99">
        <f t="shared" si="16"/>
        <v>0</v>
      </c>
      <c r="K205" s="99">
        <f t="shared" si="17"/>
        <v>-373050000</v>
      </c>
    </row>
    <row r="206" spans="1:11" x14ac:dyDescent="0.25">
      <c r="A206" s="99" t="s">
        <v>4184</v>
      </c>
      <c r="B206" s="18">
        <v>-18500</v>
      </c>
      <c r="C206" s="18">
        <v>0</v>
      </c>
      <c r="D206" s="18">
        <f t="shared" si="18"/>
        <v>-18500</v>
      </c>
      <c r="E206" s="99" t="s">
        <v>4185</v>
      </c>
      <c r="F206" s="99">
        <v>2</v>
      </c>
      <c r="G206" s="36">
        <f t="shared" si="19"/>
        <v>27</v>
      </c>
      <c r="H206" s="99">
        <f t="shared" si="15"/>
        <v>0</v>
      </c>
      <c r="I206" s="99">
        <f t="shared" si="13"/>
        <v>-499500</v>
      </c>
      <c r="J206" s="99">
        <f t="shared" si="16"/>
        <v>0</v>
      </c>
      <c r="K206" s="99">
        <f t="shared" si="17"/>
        <v>-499500</v>
      </c>
    </row>
    <row r="207" spans="1:11" x14ac:dyDescent="0.25">
      <c r="A207" s="99" t="s">
        <v>4181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25</v>
      </c>
      <c r="H207" s="99">
        <f t="shared" si="15"/>
        <v>1</v>
      </c>
      <c r="I207" s="99">
        <f t="shared" si="13"/>
        <v>347520</v>
      </c>
      <c r="J207" s="99">
        <f t="shared" ref="J207:J266" si="20">C207*(G207-H207)</f>
        <v>1700976</v>
      </c>
      <c r="K207" s="99">
        <f t="shared" si="17"/>
        <v>-1353456</v>
      </c>
    </row>
    <row r="208" spans="1:11" x14ac:dyDescent="0.25">
      <c r="A208" s="99" t="s">
        <v>4187</v>
      </c>
      <c r="B208" s="18">
        <v>830000</v>
      </c>
      <c r="C208" s="18">
        <v>0</v>
      </c>
      <c r="D208" s="18">
        <f t="shared" si="18"/>
        <v>830000</v>
      </c>
      <c r="E208" s="99" t="s">
        <v>4188</v>
      </c>
      <c r="F208" s="99">
        <v>2</v>
      </c>
      <c r="G208" s="36">
        <f t="shared" si="19"/>
        <v>24</v>
      </c>
      <c r="H208" s="99">
        <f t="shared" si="15"/>
        <v>1</v>
      </c>
      <c r="I208" s="99">
        <f t="shared" si="13"/>
        <v>19090000</v>
      </c>
      <c r="J208" s="99">
        <f t="shared" si="20"/>
        <v>0</v>
      </c>
      <c r="K208" s="99">
        <f t="shared" si="17"/>
        <v>19090000</v>
      </c>
    </row>
    <row r="209" spans="1:13" x14ac:dyDescent="0.25">
      <c r="A209" s="99" t="s">
        <v>4209</v>
      </c>
      <c r="B209" s="18">
        <v>-52440</v>
      </c>
      <c r="C209" s="18">
        <v>0</v>
      </c>
      <c r="D209" s="18">
        <f t="shared" si="18"/>
        <v>-52440</v>
      </c>
      <c r="E209" s="99" t="s">
        <v>4215</v>
      </c>
      <c r="F209" s="99">
        <v>1</v>
      </c>
      <c r="G209" s="36">
        <f t="shared" si="19"/>
        <v>22</v>
      </c>
      <c r="H209" s="99">
        <f t="shared" si="15"/>
        <v>0</v>
      </c>
      <c r="I209" s="99">
        <f t="shared" si="13"/>
        <v>-1153680</v>
      </c>
      <c r="J209" s="99">
        <f t="shared" si="20"/>
        <v>0</v>
      </c>
      <c r="K209" s="99">
        <f t="shared" si="17"/>
        <v>-1153680</v>
      </c>
    </row>
    <row r="210" spans="1:13" x14ac:dyDescent="0.25">
      <c r="A210" s="99" t="s">
        <v>4216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21</v>
      </c>
      <c r="H210" s="99">
        <f t="shared" si="15"/>
        <v>0</v>
      </c>
      <c r="I210" s="99">
        <f t="shared" si="13"/>
        <v>-1073100</v>
      </c>
      <c r="J210" s="99">
        <f t="shared" si="20"/>
        <v>0</v>
      </c>
      <c r="K210" s="99">
        <f t="shared" si="17"/>
        <v>-1073100</v>
      </c>
    </row>
    <row r="211" spans="1:13" x14ac:dyDescent="0.25">
      <c r="A211" s="99" t="s">
        <v>4218</v>
      </c>
      <c r="B211" s="18">
        <v>-200000</v>
      </c>
      <c r="C211" s="18">
        <v>0</v>
      </c>
      <c r="D211" s="18">
        <f t="shared" si="18"/>
        <v>-200000</v>
      </c>
      <c r="E211" s="99" t="s">
        <v>4219</v>
      </c>
      <c r="F211" s="99">
        <v>1</v>
      </c>
      <c r="G211" s="36">
        <f t="shared" si="19"/>
        <v>20</v>
      </c>
      <c r="H211" s="99">
        <f t="shared" si="15"/>
        <v>0</v>
      </c>
      <c r="I211" s="99">
        <f t="shared" si="13"/>
        <v>-4000000</v>
      </c>
      <c r="J211" s="99">
        <f t="shared" si="20"/>
        <v>0</v>
      </c>
      <c r="K211" s="99">
        <f t="shared" si="17"/>
        <v>-4000000</v>
      </c>
    </row>
    <row r="212" spans="1:13" x14ac:dyDescent="0.25">
      <c r="A212" s="99" t="s">
        <v>4220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19</v>
      </c>
      <c r="H212" s="99">
        <f t="shared" si="15"/>
        <v>0</v>
      </c>
      <c r="I212" s="99">
        <f t="shared" si="13"/>
        <v>-532000</v>
      </c>
      <c r="J212" s="99">
        <f t="shared" si="20"/>
        <v>0</v>
      </c>
      <c r="K212" s="99">
        <f t="shared" si="17"/>
        <v>-532000</v>
      </c>
    </row>
    <row r="213" spans="1:13" x14ac:dyDescent="0.25">
      <c r="A213" s="99" t="s">
        <v>4221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</v>
      </c>
      <c r="H213" s="99">
        <f t="shared" si="15"/>
        <v>0</v>
      </c>
      <c r="I213" s="99">
        <f t="shared" si="13"/>
        <v>-1063800</v>
      </c>
      <c r="J213" s="99">
        <f t="shared" si="20"/>
        <v>0</v>
      </c>
      <c r="K213" s="99">
        <f t="shared" si="17"/>
        <v>-1063800</v>
      </c>
    </row>
    <row r="214" spans="1:13" x14ac:dyDescent="0.25">
      <c r="A214" s="99" t="s">
        <v>4221</v>
      </c>
      <c r="B214" s="18">
        <v>-30000</v>
      </c>
      <c r="C214" s="18">
        <v>0</v>
      </c>
      <c r="D214" s="18">
        <f t="shared" si="18"/>
        <v>-30000</v>
      </c>
      <c r="E214" s="99" t="s">
        <v>4222</v>
      </c>
      <c r="F214" s="99">
        <v>0</v>
      </c>
      <c r="G214" s="36">
        <f t="shared" si="19"/>
        <v>17</v>
      </c>
      <c r="H214" s="99">
        <f t="shared" si="15"/>
        <v>0</v>
      </c>
      <c r="I214" s="99">
        <f t="shared" si="13"/>
        <v>-510000</v>
      </c>
      <c r="J214" s="99">
        <f t="shared" si="20"/>
        <v>0</v>
      </c>
      <c r="K214" s="99">
        <f t="shared" si="17"/>
        <v>-510000</v>
      </c>
    </row>
    <row r="215" spans="1:13" x14ac:dyDescent="0.25">
      <c r="A215" s="99" t="s">
        <v>4221</v>
      </c>
      <c r="B215" s="18">
        <v>-178000</v>
      </c>
      <c r="C215" s="18">
        <v>0</v>
      </c>
      <c r="D215" s="18">
        <f t="shared" si="18"/>
        <v>-178000</v>
      </c>
      <c r="E215" s="99" t="s">
        <v>4224</v>
      </c>
      <c r="F215" s="99">
        <v>1</v>
      </c>
      <c r="G215" s="36">
        <f t="shared" si="19"/>
        <v>17</v>
      </c>
      <c r="H215" s="99">
        <f t="shared" si="15"/>
        <v>0</v>
      </c>
      <c r="I215" s="99">
        <f t="shared" si="13"/>
        <v>-3026000</v>
      </c>
      <c r="J215" s="99">
        <f t="shared" si="20"/>
        <v>0</v>
      </c>
      <c r="K215" s="99">
        <f t="shared" si="17"/>
        <v>-3026000</v>
      </c>
    </row>
    <row r="216" spans="1:13" x14ac:dyDescent="0.25">
      <c r="A216" s="99" t="s">
        <v>4226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</v>
      </c>
      <c r="H216" s="99">
        <f t="shared" si="15"/>
        <v>0</v>
      </c>
      <c r="I216" s="99">
        <f t="shared" si="13"/>
        <v>-1529760</v>
      </c>
      <c r="J216" s="99">
        <f t="shared" si="20"/>
        <v>0</v>
      </c>
      <c r="K216" s="99">
        <f t="shared" si="17"/>
        <v>-1529760</v>
      </c>
    </row>
    <row r="217" spans="1:13" x14ac:dyDescent="0.25">
      <c r="A217" s="99" t="s">
        <v>4180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</v>
      </c>
      <c r="H217" s="99">
        <f t="shared" si="15"/>
        <v>0</v>
      </c>
      <c r="I217" s="99">
        <f t="shared" si="13"/>
        <v>-1092000</v>
      </c>
      <c r="J217" s="99">
        <f t="shared" si="20"/>
        <v>0</v>
      </c>
      <c r="K217" s="99">
        <f t="shared" si="17"/>
        <v>-1092000</v>
      </c>
    </row>
    <row r="218" spans="1:13" x14ac:dyDescent="0.25">
      <c r="A218" s="99" t="s">
        <v>4230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11</v>
      </c>
      <c r="H218" s="99">
        <f t="shared" si="15"/>
        <v>0</v>
      </c>
      <c r="I218" s="99">
        <f t="shared" si="13"/>
        <v>-363000</v>
      </c>
      <c r="J218" s="99">
        <f t="shared" si="20"/>
        <v>0</v>
      </c>
      <c r="K218" s="99">
        <f t="shared" si="17"/>
        <v>-363000</v>
      </c>
    </row>
    <row r="219" spans="1:13" x14ac:dyDescent="0.25">
      <c r="A219" s="99" t="s">
        <v>4235</v>
      </c>
      <c r="B219" s="18">
        <v>1548000</v>
      </c>
      <c r="C219" s="18">
        <v>0</v>
      </c>
      <c r="D219" s="18">
        <f t="shared" si="18"/>
        <v>1548000</v>
      </c>
      <c r="E219" s="99" t="s">
        <v>4265</v>
      </c>
      <c r="F219" s="99">
        <v>1</v>
      </c>
      <c r="G219" s="36">
        <f t="shared" si="21"/>
        <v>8</v>
      </c>
      <c r="H219" s="99">
        <f t="shared" si="15"/>
        <v>1</v>
      </c>
      <c r="I219" s="99">
        <f t="shared" si="13"/>
        <v>10836000</v>
      </c>
      <c r="J219" s="99">
        <f t="shared" si="20"/>
        <v>0</v>
      </c>
      <c r="K219" s="99">
        <f t="shared" si="17"/>
        <v>10836000</v>
      </c>
    </row>
    <row r="220" spans="1:13" x14ac:dyDescent="0.25">
      <c r="A220" s="99" t="s">
        <v>4266</v>
      </c>
      <c r="B220" s="18">
        <v>-1400700</v>
      </c>
      <c r="C220" s="18">
        <v>0</v>
      </c>
      <c r="D220" s="18">
        <f t="shared" si="18"/>
        <v>-1400700</v>
      </c>
      <c r="E220" s="99" t="s">
        <v>4267</v>
      </c>
      <c r="F220" s="99">
        <v>0</v>
      </c>
      <c r="G220" s="36">
        <f t="shared" si="21"/>
        <v>7</v>
      </c>
      <c r="H220" s="99">
        <f t="shared" si="15"/>
        <v>0</v>
      </c>
      <c r="I220" s="99">
        <f t="shared" si="13"/>
        <v>-9804900</v>
      </c>
      <c r="J220" s="99">
        <f t="shared" si="20"/>
        <v>0</v>
      </c>
      <c r="K220" s="99">
        <f t="shared" si="17"/>
        <v>-9804900</v>
      </c>
    </row>
    <row r="221" spans="1:13" x14ac:dyDescent="0.25">
      <c r="A221" s="99" t="s">
        <v>4266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7</v>
      </c>
      <c r="H221" s="99">
        <f t="shared" si="15"/>
        <v>0</v>
      </c>
      <c r="I221" s="99">
        <f t="shared" si="13"/>
        <v>-70000</v>
      </c>
      <c r="J221" s="99">
        <f t="shared" si="20"/>
        <v>0</v>
      </c>
      <c r="K221" s="99">
        <f t="shared" si="17"/>
        <v>-70000</v>
      </c>
    </row>
    <row r="222" spans="1:13" x14ac:dyDescent="0.25">
      <c r="A222" s="99" t="s">
        <v>4266</v>
      </c>
      <c r="B222" s="18">
        <v>-5000</v>
      </c>
      <c r="C222" s="18">
        <v>-2500</v>
      </c>
      <c r="D222" s="18">
        <f t="shared" si="18"/>
        <v>-2500</v>
      </c>
      <c r="E222" s="99" t="s">
        <v>4281</v>
      </c>
      <c r="F222" s="99">
        <v>6</v>
      </c>
      <c r="G222" s="36">
        <f t="shared" si="21"/>
        <v>7</v>
      </c>
      <c r="H222" s="99">
        <f t="shared" si="15"/>
        <v>0</v>
      </c>
      <c r="I222" s="99">
        <f t="shared" si="13"/>
        <v>-35000</v>
      </c>
      <c r="J222" s="99">
        <f t="shared" si="20"/>
        <v>-17500</v>
      </c>
      <c r="K222" s="99">
        <f t="shared" si="17"/>
        <v>-17500</v>
      </c>
    </row>
    <row r="223" spans="1:13" x14ac:dyDescent="0.25">
      <c r="A223" s="99" t="s">
        <v>4294</v>
      </c>
      <c r="B223" s="18">
        <v>-190000</v>
      </c>
      <c r="C223" s="18">
        <v>0</v>
      </c>
      <c r="D223" s="18">
        <f t="shared" si="18"/>
        <v>-190000</v>
      </c>
      <c r="E223" s="99" t="s">
        <v>4295</v>
      </c>
      <c r="F223" s="99">
        <v>1</v>
      </c>
      <c r="G223" s="36">
        <f t="shared" si="21"/>
        <v>1</v>
      </c>
      <c r="H223" s="99">
        <f t="shared" si="15"/>
        <v>0</v>
      </c>
      <c r="I223" s="99">
        <f t="shared" si="13"/>
        <v>-190000</v>
      </c>
      <c r="J223" s="99">
        <f t="shared" si="20"/>
        <v>0</v>
      </c>
      <c r="K223" s="99">
        <f t="shared" si="17"/>
        <v>-190000</v>
      </c>
      <c r="M223" t="s">
        <v>25</v>
      </c>
    </row>
    <row r="224" spans="1:13" x14ac:dyDescent="0.25">
      <c r="A224" s="99"/>
      <c r="B224" s="18"/>
      <c r="C224" s="18"/>
      <c r="D224" s="18">
        <f t="shared" si="18"/>
        <v>0</v>
      </c>
      <c r="E224" s="99"/>
      <c r="F224" s="99"/>
      <c r="G224" s="36">
        <f t="shared" si="21"/>
        <v>0</v>
      </c>
      <c r="H224" s="99">
        <f t="shared" si="15"/>
        <v>0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6867</v>
      </c>
      <c r="C267" s="29">
        <f>SUM(C2:C256)</f>
        <v>7903817</v>
      </c>
      <c r="D267" s="29">
        <f>SUM(D2:D254)</f>
        <v>-7896950</v>
      </c>
      <c r="E267" s="11"/>
      <c r="F267" s="11"/>
      <c r="G267" s="11"/>
      <c r="H267" s="11"/>
      <c r="I267" s="29">
        <f>SUM(I2:I266)</f>
        <v>18781426282</v>
      </c>
      <c r="J267" s="29">
        <f>SUM(J2:J266)</f>
        <v>8249856838</v>
      </c>
      <c r="K267" s="29">
        <f>SUM(K2:K266)</f>
        <v>10531569444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20436807.706202395</v>
      </c>
      <c r="J270" s="29">
        <f>J267/G2</f>
        <v>8976993.2948857453</v>
      </c>
      <c r="K270" s="29">
        <f>K267/G2</f>
        <v>11459814.411316648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-6700311</v>
      </c>
      <c r="G274" t="s">
        <v>25</v>
      </c>
      <c r="J274">
        <f>J267/I267*1448696</f>
        <v>636348.61497380119</v>
      </c>
      <c r="K274">
        <f>K267/I267*1448696</f>
        <v>812347.38502619893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4163</v>
      </c>
      <c r="B23" s="18">
        <v>48650000</v>
      </c>
      <c r="C23" s="18">
        <v>0</v>
      </c>
      <c r="D23" s="113">
        <f t="shared" si="0"/>
        <v>48650000</v>
      </c>
      <c r="E23" s="19" t="s">
        <v>4164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4163</v>
      </c>
      <c r="B24" s="18">
        <v>-3005900</v>
      </c>
      <c r="C24" s="18">
        <v>0</v>
      </c>
      <c r="D24" s="113">
        <f t="shared" si="0"/>
        <v>-3005900</v>
      </c>
      <c r="E24" s="19" t="s">
        <v>4166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4171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4171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4184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4185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4181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4173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4174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4175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4176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4178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4182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4183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4186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4279</v>
      </c>
      <c r="B72" s="113">
        <v>-5000</v>
      </c>
      <c r="C72" s="99" t="s">
        <v>4280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6" zoomScaleNormal="100" workbookViewId="0">
      <pane xSplit="1" topLeftCell="B1" activePane="topRight" state="frozen"/>
      <selection pane="topRight" activeCell="Q32" sqref="Q3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76827.436495061353</v>
      </c>
      <c r="C2" s="86">
        <f t="shared" ref="C2:C20" si="0">$S2/(1+($C$1-$O2+$P2)/36500)^$N2</f>
        <v>80136.147617179129</v>
      </c>
      <c r="D2" s="86">
        <f>$S2/(1+($D$1-$O2+$P2)/36500)^$N2</f>
        <v>80559.658512500697</v>
      </c>
      <c r="E2" s="86">
        <f>$S2/(1+($E$1-$O2+$P2)/36500)^$N2</f>
        <v>80985.413461533506</v>
      </c>
      <c r="F2" s="86">
        <f>$S2/(1+($F$1-$O2+$P2)/36500)^$N2</f>
        <v>81413.424385804377</v>
      </c>
      <c r="G2" s="86">
        <f>$S2/(1+($G$1-$O2+$P2)/36500)^$N2</f>
        <v>81843.70327031723</v>
      </c>
      <c r="H2" s="86">
        <f>$S2/(1+($H$1-$O2+$P2)/36500)^$N2</f>
        <v>82276.262163933061</v>
      </c>
      <c r="I2" s="86">
        <f>$S2/(1+($I$1-$O2+$P2)/36500)^$N2</f>
        <v>82711.113179674125</v>
      </c>
      <c r="J2" s="86">
        <f>$S2/(1+($J$1-$O2+$P2)/36500)^$N2</f>
        <v>83148.268495089695</v>
      </c>
      <c r="K2" s="86">
        <f>$S2/(1+($K$1-$O2+$P2)/36500)^$N2</f>
        <v>83587.740352606241</v>
      </c>
      <c r="L2" s="86">
        <f t="shared" ref="L2:L37" si="1">$S2/(1+($AC$5-$O2+$P2)/36500)^$N2</f>
        <v>80985.413461533506</v>
      </c>
      <c r="M2" s="148" t="s">
        <v>993</v>
      </c>
      <c r="N2" s="148">
        <f>601-$AD$19</f>
        <v>385</v>
      </c>
      <c r="O2" s="148">
        <v>0</v>
      </c>
      <c r="P2" s="148">
        <v>0</v>
      </c>
      <c r="Q2" s="148">
        <v>0</v>
      </c>
      <c r="R2" s="148">
        <f t="shared" ref="R2:R37" si="2">N2/30.5</f>
        <v>12.622950819672131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1" t="s">
        <v>4247</v>
      </c>
      <c r="B3" s="192">
        <f>$S3/(1+($B$1-$O3+$P3)/36500)^$N3</f>
        <v>96238.275357686885</v>
      </c>
      <c r="C3" s="192">
        <f t="shared" si="0"/>
        <v>96830.330119171238</v>
      </c>
      <c r="D3" s="192">
        <f t="shared" ref="D3:D37" si="5">$S3/(1+($D$1-$O3+$P3)/36500)^$N3</f>
        <v>96904.597182400496</v>
      </c>
      <c r="E3" s="192">
        <f t="shared" ref="E3:E37" si="6">$S3/(1+($E$1-$O3+$P3)/36500)^$N3</f>
        <v>96978.922225048766</v>
      </c>
      <c r="F3" s="192">
        <f t="shared" ref="F3:F37" si="7">$S3/(1+($F$1-$O3+$P3)/36500)^$N3</f>
        <v>97053.305293176294</v>
      </c>
      <c r="G3" s="192">
        <f t="shared" ref="G3:G37" si="8">$S3/(1+($G$1-$O3+$P3)/36500)^$N3</f>
        <v>97127.746432877015</v>
      </c>
      <c r="H3" s="192">
        <f t="shared" ref="H3:H37" si="9">$S3/(1+($H$1-$O3+$P3)/36500)^$N3</f>
        <v>97202.245690285694</v>
      </c>
      <c r="I3" s="192">
        <f t="shared" ref="I3:I37" si="10">$S3/(1+($I$1-$O3+$P3)/36500)^$N3</f>
        <v>97276.803111571557</v>
      </c>
      <c r="J3" s="192">
        <f t="shared" ref="J3:J37" si="11">$S3/(1+($J$1-$O3+$P3)/36500)^$N3</f>
        <v>97351.418742942289</v>
      </c>
      <c r="K3" s="192">
        <f t="shared" ref="K3:K37" si="12">$S3/(1+($K$1-$O3+$P3)/36500)^$N3</f>
        <v>97426.092630645115</v>
      </c>
      <c r="L3" s="192">
        <f t="shared" si="1"/>
        <v>96978.922225048766</v>
      </c>
      <c r="M3" s="191" t="s">
        <v>4256</v>
      </c>
      <c r="N3" s="191">
        <f>272-$AD$19</f>
        <v>56</v>
      </c>
      <c r="O3" s="191">
        <v>0</v>
      </c>
      <c r="P3" s="191">
        <v>0</v>
      </c>
      <c r="Q3" s="191">
        <v>0</v>
      </c>
      <c r="R3" s="191"/>
      <c r="S3" s="192">
        <v>100000</v>
      </c>
      <c r="T3" s="192"/>
      <c r="U3" s="192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78314.544537586742</v>
      </c>
      <c r="C4" s="88">
        <f t="shared" si="0"/>
        <v>81437.185249428221</v>
      </c>
      <c r="D4" s="88">
        <f t="shared" si="5"/>
        <v>81836.19458360353</v>
      </c>
      <c r="E4" s="88">
        <f t="shared" si="6"/>
        <v>82237.164405487463</v>
      </c>
      <c r="F4" s="88">
        <f t="shared" si="7"/>
        <v>82640.10437476552</v>
      </c>
      <c r="G4" s="88">
        <f t="shared" si="8"/>
        <v>83045.024198832121</v>
      </c>
      <c r="H4" s="88">
        <f t="shared" si="9"/>
        <v>83451.93363306555</v>
      </c>
      <c r="I4" s="88">
        <f t="shared" si="10"/>
        <v>83860.842481031345</v>
      </c>
      <c r="J4" s="88">
        <f t="shared" si="11"/>
        <v>84271.76059474262</v>
      </c>
      <c r="K4" s="88">
        <f t="shared" si="12"/>
        <v>84684.697874905323</v>
      </c>
      <c r="L4" s="88">
        <f t="shared" si="1"/>
        <v>82237.164405487463</v>
      </c>
      <c r="M4" s="87" t="s">
        <v>994</v>
      </c>
      <c r="N4" s="87">
        <f>573-$AD$19</f>
        <v>357</v>
      </c>
      <c r="O4" s="87">
        <v>0</v>
      </c>
      <c r="P4" s="87">
        <v>0</v>
      </c>
      <c r="Q4" s="87">
        <v>0</v>
      </c>
      <c r="R4" s="87">
        <f t="shared" si="2"/>
        <v>11.704918032786885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95320.165892721183</v>
      </c>
      <c r="C5" s="57">
        <f t="shared" si="0"/>
        <v>96053.736935616689</v>
      </c>
      <c r="D5" s="57">
        <f t="shared" si="5"/>
        <v>96145.835051137779</v>
      </c>
      <c r="E5" s="57">
        <f t="shared" si="6"/>
        <v>96238.022734782062</v>
      </c>
      <c r="F5" s="57">
        <f t="shared" si="7"/>
        <v>96330.300074887287</v>
      </c>
      <c r="G5" s="57">
        <f t="shared" si="8"/>
        <v>96422.667159875215</v>
      </c>
      <c r="H5" s="57">
        <f t="shared" si="9"/>
        <v>96515.124078260429</v>
      </c>
      <c r="I5" s="57">
        <f t="shared" si="10"/>
        <v>96607.67091864247</v>
      </c>
      <c r="J5" s="57">
        <f t="shared" si="11"/>
        <v>96700.307769711042</v>
      </c>
      <c r="K5" s="57">
        <f t="shared" si="12"/>
        <v>96793.034720247102</v>
      </c>
      <c r="L5" s="57">
        <f t="shared" si="1"/>
        <v>96238.022734782062</v>
      </c>
      <c r="M5" s="12" t="s">
        <v>996</v>
      </c>
      <c r="N5" s="12">
        <f>286-$AD$19</f>
        <v>70</v>
      </c>
      <c r="O5" s="12">
        <v>0</v>
      </c>
      <c r="P5" s="12">
        <v>0</v>
      </c>
      <c r="Q5" s="12">
        <v>0</v>
      </c>
      <c r="R5" s="12">
        <f t="shared" si="2"/>
        <v>2.2950819672131146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84094.556028717023</v>
      </c>
      <c r="C6" s="86">
        <f t="shared" si="0"/>
        <v>86457.278347419735</v>
      </c>
      <c r="D6" s="86">
        <f t="shared" si="5"/>
        <v>86757.266957648637</v>
      </c>
      <c r="E6" s="86">
        <f t="shared" si="6"/>
        <v>87058.30059393734</v>
      </c>
      <c r="F6" s="86">
        <f t="shared" si="7"/>
        <v>87360.382911078224</v>
      </c>
      <c r="G6" s="86">
        <f t="shared" si="8"/>
        <v>87663.517576681508</v>
      </c>
      <c r="H6" s="86">
        <f t="shared" si="9"/>
        <v>87967.708271249241</v>
      </c>
      <c r="I6" s="86">
        <f t="shared" si="10"/>
        <v>88272.958688195038</v>
      </c>
      <c r="J6" s="86">
        <f t="shared" si="11"/>
        <v>88579.272533905634</v>
      </c>
      <c r="K6" s="86">
        <f t="shared" si="12"/>
        <v>88886.653527790739</v>
      </c>
      <c r="L6" s="86">
        <f t="shared" si="1"/>
        <v>87058.30059393734</v>
      </c>
      <c r="M6" s="148" t="s">
        <v>995</v>
      </c>
      <c r="N6" s="148">
        <f>469-$AD$19</f>
        <v>253</v>
      </c>
      <c r="O6" s="148">
        <v>0</v>
      </c>
      <c r="P6" s="148">
        <v>0</v>
      </c>
      <c r="Q6" s="148">
        <v>0</v>
      </c>
      <c r="R6" s="148">
        <f t="shared" si="2"/>
        <v>8.2950819672131146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1" t="s">
        <v>986</v>
      </c>
      <c r="B7" s="192">
        <f t="shared" si="14"/>
        <v>84094.556028717023</v>
      </c>
      <c r="C7" s="192">
        <f t="shared" si="0"/>
        <v>86457.278347419735</v>
      </c>
      <c r="D7" s="192">
        <f t="shared" si="5"/>
        <v>86757.266957648637</v>
      </c>
      <c r="E7" s="192">
        <f t="shared" si="6"/>
        <v>87058.30059393734</v>
      </c>
      <c r="F7" s="192">
        <f t="shared" si="7"/>
        <v>87360.382911078224</v>
      </c>
      <c r="G7" s="192">
        <f t="shared" si="8"/>
        <v>87663.517576681508</v>
      </c>
      <c r="H7" s="192">
        <f t="shared" si="9"/>
        <v>87967.708271249241</v>
      </c>
      <c r="I7" s="192">
        <f t="shared" si="10"/>
        <v>88272.958688195038</v>
      </c>
      <c r="J7" s="192">
        <f t="shared" si="11"/>
        <v>88579.272533905634</v>
      </c>
      <c r="K7" s="192">
        <f t="shared" si="12"/>
        <v>88886.653527790739</v>
      </c>
      <c r="L7" s="192">
        <f t="shared" si="1"/>
        <v>87058.30059393734</v>
      </c>
      <c r="M7" s="191" t="s">
        <v>995</v>
      </c>
      <c r="N7" s="191">
        <f>469-$AD$19</f>
        <v>253</v>
      </c>
      <c r="O7" s="191">
        <v>0</v>
      </c>
      <c r="P7" s="191">
        <v>0</v>
      </c>
      <c r="Q7" s="191">
        <v>0</v>
      </c>
      <c r="R7" s="191">
        <f t="shared" si="2"/>
        <v>8.2950819672131146</v>
      </c>
      <c r="S7" s="192">
        <v>100000</v>
      </c>
      <c r="T7" s="192">
        <v>77700</v>
      </c>
      <c r="U7" s="192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75730.666521255276</v>
      </c>
      <c r="C8" s="88">
        <f t="shared" si="0"/>
        <v>79174.028018185723</v>
      </c>
      <c r="D8" s="88">
        <f t="shared" si="5"/>
        <v>79615.34095546497</v>
      </c>
      <c r="E8" s="88">
        <f t="shared" si="6"/>
        <v>80059.119846410962</v>
      </c>
      <c r="F8" s="88">
        <f t="shared" si="7"/>
        <v>80505.378504252265</v>
      </c>
      <c r="G8" s="88">
        <f t="shared" si="8"/>
        <v>80954.130819762679</v>
      </c>
      <c r="H8" s="88">
        <f t="shared" si="9"/>
        <v>81405.390761740302</v>
      </c>
      <c r="I8" s="88">
        <f t="shared" si="10"/>
        <v>81859.172377408671</v>
      </c>
      <c r="J8" s="88">
        <f t="shared" si="11"/>
        <v>82315.489792882203</v>
      </c>
      <c r="K8" s="88">
        <f t="shared" si="12"/>
        <v>82774.357213616153</v>
      </c>
      <c r="L8" s="88">
        <f t="shared" si="1"/>
        <v>80059.119846410962</v>
      </c>
      <c r="M8" s="87" t="s">
        <v>999</v>
      </c>
      <c r="N8" s="87">
        <f>622-$AD$19</f>
        <v>406</v>
      </c>
      <c r="O8" s="87">
        <v>0</v>
      </c>
      <c r="P8" s="87">
        <v>0</v>
      </c>
      <c r="Q8" s="87">
        <v>0</v>
      </c>
      <c r="R8" s="87">
        <f t="shared" si="2"/>
        <v>13.311475409836065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4248</v>
      </c>
      <c r="B9" s="86">
        <f t="shared" si="14"/>
        <v>97098.721940649513</v>
      </c>
      <c r="C9" s="86">
        <f t="shared" si="0"/>
        <v>97557.073321153264</v>
      </c>
      <c r="D9" s="86">
        <f t="shared" si="5"/>
        <v>97614.522705318159</v>
      </c>
      <c r="E9" s="86">
        <f t="shared" si="6"/>
        <v>97672.00670749729</v>
      </c>
      <c r="F9" s="86">
        <f t="shared" si="7"/>
        <v>97729.525349026546</v>
      </c>
      <c r="G9" s="86">
        <f t="shared" si="8"/>
        <v>97787.078651252508</v>
      </c>
      <c r="H9" s="86">
        <f t="shared" si="9"/>
        <v>97844.666635538088</v>
      </c>
      <c r="I9" s="86">
        <f t="shared" si="10"/>
        <v>97902.289323257239</v>
      </c>
      <c r="J9" s="86">
        <f t="shared" si="11"/>
        <v>97959.946735798527</v>
      </c>
      <c r="K9" s="86">
        <f t="shared" si="12"/>
        <v>98017.63889456552</v>
      </c>
      <c r="L9" s="86">
        <f t="shared" si="1"/>
        <v>97672.00670749729</v>
      </c>
      <c r="M9" s="148" t="s">
        <v>4257</v>
      </c>
      <c r="N9" s="148">
        <f>259-$AD$19</f>
        <v>43</v>
      </c>
      <c r="O9" s="148">
        <v>0</v>
      </c>
      <c r="P9" s="148">
        <v>0</v>
      </c>
      <c r="Q9" s="148">
        <v>0</v>
      </c>
      <c r="R9" s="148">
        <f t="shared" si="2"/>
        <v>1.4098360655737705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1" t="s">
        <v>988</v>
      </c>
      <c r="B10" s="192">
        <f t="shared" si="14"/>
        <v>72533.409059156766</v>
      </c>
      <c r="C10" s="192">
        <f t="shared" si="0"/>
        <v>76356.423753668467</v>
      </c>
      <c r="D10" s="192">
        <f t="shared" si="5"/>
        <v>76848.286339771192</v>
      </c>
      <c r="E10" s="192">
        <f t="shared" si="6"/>
        <v>77343.324139682081</v>
      </c>
      <c r="F10" s="192">
        <f t="shared" si="7"/>
        <v>77841.557694865944</v>
      </c>
      <c r="G10" s="192">
        <f t="shared" si="8"/>
        <v>78343.007679937044</v>
      </c>
      <c r="H10" s="192">
        <f t="shared" si="9"/>
        <v>78847.694903571537</v>
      </c>
      <c r="I10" s="192">
        <f t="shared" si="10"/>
        <v>79355.640309336217</v>
      </c>
      <c r="J10" s="192">
        <f t="shared" si="11"/>
        <v>79866.864976591227</v>
      </c>
      <c r="K10" s="192">
        <f t="shared" si="12"/>
        <v>80381.390121379285</v>
      </c>
      <c r="L10" s="192">
        <f t="shared" si="1"/>
        <v>77343.324139682081</v>
      </c>
      <c r="M10" s="191" t="s">
        <v>1000</v>
      </c>
      <c r="N10" s="191">
        <f>685-$AD$19</f>
        <v>469</v>
      </c>
      <c r="O10" s="191">
        <v>0</v>
      </c>
      <c r="P10" s="191">
        <v>0</v>
      </c>
      <c r="Q10" s="191">
        <v>0</v>
      </c>
      <c r="R10" s="191">
        <f t="shared" si="2"/>
        <v>15.377049180327869</v>
      </c>
      <c r="S10" s="192">
        <v>100000</v>
      </c>
      <c r="T10" s="192">
        <v>70000</v>
      </c>
      <c r="U10" s="192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73937.399884369181</v>
      </c>
      <c r="C11" s="88">
        <f t="shared" si="0"/>
        <v>77596.096282500948</v>
      </c>
      <c r="D11" s="88">
        <f t="shared" si="5"/>
        <v>78066.012573056229</v>
      </c>
      <c r="E11" s="88">
        <f t="shared" si="6"/>
        <v>78538.781134494755</v>
      </c>
      <c r="F11" s="88">
        <f t="shared" si="7"/>
        <v>79014.419318783941</v>
      </c>
      <c r="G11" s="88">
        <f t="shared" si="8"/>
        <v>79492.944583669989</v>
      </c>
      <c r="H11" s="88">
        <f t="shared" si="9"/>
        <v>79974.374493369804</v>
      </c>
      <c r="I11" s="88">
        <f t="shared" si="10"/>
        <v>80458.726719180704</v>
      </c>
      <c r="J11" s="88">
        <f t="shared" si="11"/>
        <v>80946.01904016074</v>
      </c>
      <c r="K11" s="88">
        <f t="shared" si="12"/>
        <v>81436.269343793276</v>
      </c>
      <c r="L11" s="88">
        <f t="shared" si="1"/>
        <v>78538.781134494755</v>
      </c>
      <c r="M11" s="87" t="s">
        <v>1001</v>
      </c>
      <c r="N11" s="87">
        <f>657-$AD$19</f>
        <v>441</v>
      </c>
      <c r="O11" s="87">
        <v>0</v>
      </c>
      <c r="P11" s="87">
        <v>0</v>
      </c>
      <c r="Q11" s="87">
        <v>0</v>
      </c>
      <c r="R11" s="87">
        <f t="shared" si="2"/>
        <v>14.459016393442623</v>
      </c>
      <c r="S11" s="88">
        <v>100000</v>
      </c>
      <c r="T11" s="88">
        <v>70700</v>
      </c>
      <c r="U11" s="88">
        <f t="shared" si="3"/>
        <v>99999.999999999985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73937.399884369181</v>
      </c>
      <c r="C12" s="86">
        <f t="shared" si="0"/>
        <v>77596.096282500948</v>
      </c>
      <c r="D12" s="86">
        <f t="shared" si="5"/>
        <v>78066.012573056229</v>
      </c>
      <c r="E12" s="86">
        <f t="shared" si="6"/>
        <v>78538.781134494755</v>
      </c>
      <c r="F12" s="86">
        <f t="shared" si="7"/>
        <v>79014.419318783941</v>
      </c>
      <c r="G12" s="86">
        <f t="shared" si="8"/>
        <v>79492.944583669989</v>
      </c>
      <c r="H12" s="86">
        <f t="shared" si="9"/>
        <v>79974.374493369804</v>
      </c>
      <c r="I12" s="86">
        <f t="shared" si="10"/>
        <v>80458.726719180704</v>
      </c>
      <c r="J12" s="86">
        <f t="shared" si="11"/>
        <v>80946.01904016074</v>
      </c>
      <c r="K12" s="86">
        <f t="shared" si="12"/>
        <v>81436.269343793276</v>
      </c>
      <c r="L12" s="86">
        <f t="shared" si="1"/>
        <v>78538.781134494755</v>
      </c>
      <c r="M12" s="148" t="s">
        <v>1001</v>
      </c>
      <c r="N12" s="148">
        <f>657-$AD$19</f>
        <v>441</v>
      </c>
      <c r="O12" s="148">
        <v>0</v>
      </c>
      <c r="P12" s="148">
        <v>0</v>
      </c>
      <c r="Q12" s="148">
        <v>0</v>
      </c>
      <c r="R12" s="148">
        <f t="shared" si="2"/>
        <v>14.459016393442623</v>
      </c>
      <c r="S12" s="86">
        <v>100000</v>
      </c>
      <c r="T12" s="86">
        <v>71000</v>
      </c>
      <c r="U12" s="86">
        <f t="shared" si="3"/>
        <v>99999.999999999985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1" t="s">
        <v>991</v>
      </c>
      <c r="B13" s="192">
        <f t="shared" si="14"/>
        <v>76827.436495061353</v>
      </c>
      <c r="C13" s="192">
        <f t="shared" si="0"/>
        <v>80136.147617179129</v>
      </c>
      <c r="D13" s="192">
        <f t="shared" si="5"/>
        <v>80559.658512500697</v>
      </c>
      <c r="E13" s="192">
        <f t="shared" si="6"/>
        <v>80985.413461533506</v>
      </c>
      <c r="F13" s="192">
        <f t="shared" si="7"/>
        <v>81413.424385804377</v>
      </c>
      <c r="G13" s="192">
        <f t="shared" si="8"/>
        <v>81843.70327031723</v>
      </c>
      <c r="H13" s="192">
        <f t="shared" si="9"/>
        <v>82276.262163933061</v>
      </c>
      <c r="I13" s="192">
        <f t="shared" si="10"/>
        <v>82711.113179674125</v>
      </c>
      <c r="J13" s="192">
        <f t="shared" si="11"/>
        <v>83148.268495089695</v>
      </c>
      <c r="K13" s="192">
        <f t="shared" si="12"/>
        <v>83587.740352606241</v>
      </c>
      <c r="L13" s="192">
        <f t="shared" si="1"/>
        <v>80985.413461533506</v>
      </c>
      <c r="M13" s="191" t="s">
        <v>993</v>
      </c>
      <c r="N13" s="191">
        <f>601-$AD$19</f>
        <v>385</v>
      </c>
      <c r="O13" s="191">
        <v>0</v>
      </c>
      <c r="P13" s="191">
        <v>0</v>
      </c>
      <c r="Q13" s="191">
        <v>0</v>
      </c>
      <c r="R13" s="191">
        <f t="shared" si="2"/>
        <v>12.622950819672131</v>
      </c>
      <c r="S13" s="192">
        <v>100000</v>
      </c>
      <c r="T13" s="192">
        <v>73100</v>
      </c>
      <c r="U13" s="192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81654.739125547654</v>
      </c>
      <c r="C14" s="88">
        <f t="shared" si="0"/>
        <v>84345.190428865812</v>
      </c>
      <c r="D14" s="88">
        <f t="shared" si="5"/>
        <v>84687.692052887418</v>
      </c>
      <c r="E14" s="88">
        <f t="shared" si="6"/>
        <v>85031.589195543638</v>
      </c>
      <c r="F14" s="88">
        <f t="shared" si="7"/>
        <v>85376.887562088858</v>
      </c>
      <c r="G14" s="88">
        <f t="shared" si="8"/>
        <v>85723.592881164121</v>
      </c>
      <c r="H14" s="88">
        <f t="shared" si="9"/>
        <v>86071.710904926455</v>
      </c>
      <c r="I14" s="88">
        <f t="shared" si="10"/>
        <v>86421.247409116011</v>
      </c>
      <c r="J14" s="88">
        <f t="shared" si="11"/>
        <v>86772.208193171769</v>
      </c>
      <c r="K14" s="88">
        <f t="shared" si="12"/>
        <v>87124.599080333486</v>
      </c>
      <c r="L14" s="88">
        <f t="shared" si="1"/>
        <v>85031.589195543638</v>
      </c>
      <c r="M14" s="87" t="s">
        <v>3857</v>
      </c>
      <c r="N14" s="87">
        <f>512-$AD$19</f>
        <v>296</v>
      </c>
      <c r="O14" s="87">
        <v>0</v>
      </c>
      <c r="P14" s="87">
        <v>0</v>
      </c>
      <c r="Q14" s="87">
        <v>0</v>
      </c>
      <c r="R14" s="87">
        <f t="shared" si="2"/>
        <v>9.7049180327868854</v>
      </c>
      <c r="S14" s="88">
        <v>100000</v>
      </c>
      <c r="T14" s="88">
        <v>50000</v>
      </c>
      <c r="U14" s="88">
        <f>B14*(1+$AC$2/36500)^N14</f>
        <v>100000.00000000001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63380.861818321304</v>
      </c>
      <c r="C15" s="57">
        <f t="shared" si="0"/>
        <v>68176.660907380458</v>
      </c>
      <c r="D15" s="57">
        <f t="shared" si="5"/>
        <v>68801.14552943231</v>
      </c>
      <c r="E15" s="57">
        <f t="shared" si="6"/>
        <v>69431.35897366784</v>
      </c>
      <c r="F15" s="57">
        <f t="shared" si="7"/>
        <v>70067.353873999382</v>
      </c>
      <c r="G15" s="57">
        <f t="shared" si="8"/>
        <v>70709.183348616716</v>
      </c>
      <c r="H15" s="57">
        <f t="shared" si="9"/>
        <v>71356.901004510742</v>
      </c>
      <c r="I15" s="57">
        <f t="shared" si="10"/>
        <v>72010.560941923293</v>
      </c>
      <c r="J15" s="57">
        <f t="shared" si="11"/>
        <v>72670.21775892713</v>
      </c>
      <c r="K15" s="57">
        <f t="shared" si="12"/>
        <v>73335.926556022343</v>
      </c>
      <c r="L15" s="57">
        <f t="shared" si="1"/>
        <v>69431.35897366784</v>
      </c>
      <c r="M15" s="12" t="s">
        <v>3911</v>
      </c>
      <c r="N15" s="12">
        <f>882-$AD$19</f>
        <v>666</v>
      </c>
      <c r="O15" s="12">
        <v>0</v>
      </c>
      <c r="P15" s="12">
        <v>0</v>
      </c>
      <c r="Q15" s="12">
        <v>0</v>
      </c>
      <c r="R15" s="12">
        <f t="shared" si="2"/>
        <v>21.83606557377049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62177.328171937414</v>
      </c>
      <c r="C16" s="86">
        <f t="shared" si="0"/>
        <v>67087.472949693649</v>
      </c>
      <c r="D16" s="86">
        <f t="shared" si="5"/>
        <v>67727.938931197947</v>
      </c>
      <c r="E16" s="86">
        <f t="shared" si="6"/>
        <v>68374.528162882998</v>
      </c>
      <c r="F16" s="86">
        <f t="shared" si="7"/>
        <v>69027.299271854616</v>
      </c>
      <c r="G16" s="86">
        <f t="shared" si="8"/>
        <v>69686.311447327244</v>
      </c>
      <c r="H16" s="86">
        <f t="shared" si="9"/>
        <v>70351.624446083908</v>
      </c>
      <c r="I16" s="86">
        <f t="shared" si="10"/>
        <v>71023.298597870104</v>
      </c>
      <c r="J16" s="86">
        <f t="shared" si="11"/>
        <v>71701.394810931131</v>
      </c>
      <c r="K16" s="86">
        <f t="shared" si="12"/>
        <v>72385.974577576009</v>
      </c>
      <c r="L16" s="86">
        <f t="shared" si="1"/>
        <v>68374.528162882998</v>
      </c>
      <c r="M16" s="148" t="s">
        <v>4234</v>
      </c>
      <c r="N16" s="148">
        <f>910-$AD$19</f>
        <v>694</v>
      </c>
      <c r="O16" s="148">
        <v>0</v>
      </c>
      <c r="P16" s="148">
        <v>0</v>
      </c>
      <c r="Q16" s="148">
        <v>0</v>
      </c>
      <c r="R16" s="148">
        <f t="shared" si="2"/>
        <v>22.754098360655739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1" t="s">
        <v>4249</v>
      </c>
      <c r="B17" s="192">
        <f t="shared" si="14"/>
        <v>96634.452963838936</v>
      </c>
      <c r="C17" s="192">
        <f t="shared" si="0"/>
        <v>97165.074883615976</v>
      </c>
      <c r="D17" s="192">
        <f t="shared" si="5"/>
        <v>97231.611263126353</v>
      </c>
      <c r="E17" s="192">
        <f t="shared" si="6"/>
        <v>97298.194117086226</v>
      </c>
      <c r="F17" s="192">
        <f t="shared" si="7"/>
        <v>97364.823478595514</v>
      </c>
      <c r="G17" s="192">
        <f t="shared" si="8"/>
        <v>97431.499380775203</v>
      </c>
      <c r="H17" s="192">
        <f t="shared" si="9"/>
        <v>97498.221856773263</v>
      </c>
      <c r="I17" s="192">
        <f t="shared" si="10"/>
        <v>97564.990939759417</v>
      </c>
      <c r="J17" s="192">
        <f t="shared" si="11"/>
        <v>97631.806662928429</v>
      </c>
      <c r="K17" s="192">
        <f t="shared" si="12"/>
        <v>97698.669059501073</v>
      </c>
      <c r="L17" s="192">
        <f t="shared" si="1"/>
        <v>97298.194117086226</v>
      </c>
      <c r="M17" s="191" t="s">
        <v>4258</v>
      </c>
      <c r="N17" s="191">
        <f>266-$AD$19</f>
        <v>50</v>
      </c>
      <c r="O17" s="191">
        <v>0</v>
      </c>
      <c r="P17" s="191">
        <v>0</v>
      </c>
      <c r="Q17" s="191">
        <v>0</v>
      </c>
      <c r="R17" s="191">
        <f t="shared" si="2"/>
        <v>1.639344262295082</v>
      </c>
      <c r="S17" s="192">
        <v>100000</v>
      </c>
      <c r="T17" s="192"/>
      <c r="U17" s="192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4250</v>
      </c>
      <c r="B18" s="88">
        <f t="shared" si="14"/>
        <v>94410.815156925586</v>
      </c>
      <c r="C18" s="88">
        <f t="shared" si="0"/>
        <v>95283.372141162952</v>
      </c>
      <c r="D18" s="88">
        <f t="shared" si="5"/>
        <v>95393.01402059244</v>
      </c>
      <c r="E18" s="88">
        <f t="shared" si="6"/>
        <v>95502.783567831822</v>
      </c>
      <c r="F18" s="88">
        <f t="shared" si="7"/>
        <v>95612.680933291849</v>
      </c>
      <c r="G18" s="88">
        <f t="shared" si="8"/>
        <v>95722.706267557398</v>
      </c>
      <c r="H18" s="88">
        <f t="shared" si="9"/>
        <v>95832.859721397923</v>
      </c>
      <c r="I18" s="88">
        <f t="shared" si="10"/>
        <v>95943.141445758578</v>
      </c>
      <c r="J18" s="88">
        <f t="shared" si="11"/>
        <v>96053.55159176614</v>
      </c>
      <c r="K18" s="88">
        <f t="shared" si="12"/>
        <v>96164.090310730608</v>
      </c>
      <c r="L18" s="88">
        <f t="shared" si="1"/>
        <v>95502.783567831822</v>
      </c>
      <c r="M18" s="87" t="s">
        <v>4259</v>
      </c>
      <c r="N18" s="87">
        <f>300-$AD$19</f>
        <v>84</v>
      </c>
      <c r="O18" s="87">
        <v>0</v>
      </c>
      <c r="P18" s="87">
        <v>0</v>
      </c>
      <c r="Q18" s="87">
        <v>0</v>
      </c>
      <c r="R18" s="87">
        <f t="shared" si="2"/>
        <v>2.7540983606557377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4251</v>
      </c>
      <c r="B19" s="57">
        <f t="shared" si="14"/>
        <v>57351.33851753574</v>
      </c>
      <c r="C19" s="57">
        <f t="shared" si="0"/>
        <v>62685.267126244573</v>
      </c>
      <c r="D19" s="57">
        <f t="shared" si="5"/>
        <v>63386.025154549374</v>
      </c>
      <c r="E19" s="57">
        <f t="shared" si="6"/>
        <v>64094.626705819945</v>
      </c>
      <c r="F19" s="57">
        <f t="shared" si="7"/>
        <v>64811.159681129247</v>
      </c>
      <c r="G19" s="57">
        <f t="shared" si="8"/>
        <v>65535.712967832485</v>
      </c>
      <c r="H19" s="57">
        <f t="shared" si="9"/>
        <v>66268.376450716314</v>
      </c>
      <c r="I19" s="57">
        <f t="shared" si="10"/>
        <v>67009.241023143069</v>
      </c>
      <c r="J19" s="57">
        <f t="shared" si="11"/>
        <v>67758.398598420958</v>
      </c>
      <c r="K19" s="57">
        <f t="shared" si="12"/>
        <v>68515.94212127327</v>
      </c>
      <c r="L19" s="57">
        <f t="shared" si="1"/>
        <v>64094.626705819945</v>
      </c>
      <c r="M19" s="12" t="s">
        <v>4260</v>
      </c>
      <c r="N19" s="12">
        <f>1028-$AD$19</f>
        <v>812</v>
      </c>
      <c r="O19" s="12">
        <v>0</v>
      </c>
      <c r="P19" s="12">
        <v>0</v>
      </c>
      <c r="Q19" s="12">
        <v>0</v>
      </c>
      <c r="R19" s="12">
        <f t="shared" si="2"/>
        <v>26.622950819672131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216</v>
      </c>
      <c r="AF19" s="26"/>
    </row>
    <row r="20" spans="1:32" ht="22.5" customHeight="1" x14ac:dyDescent="0.25">
      <c r="A20" s="148" t="s">
        <v>4252</v>
      </c>
      <c r="B20" s="86">
        <f t="shared" si="14"/>
        <v>81654.739125547654</v>
      </c>
      <c r="C20" s="86">
        <f t="shared" si="0"/>
        <v>84345.190428865812</v>
      </c>
      <c r="D20" s="86">
        <f t="shared" si="5"/>
        <v>84687.692052887418</v>
      </c>
      <c r="E20" s="86">
        <f t="shared" si="6"/>
        <v>85031.589195543638</v>
      </c>
      <c r="F20" s="86">
        <f t="shared" si="7"/>
        <v>85376.887562088858</v>
      </c>
      <c r="G20" s="86">
        <f t="shared" si="8"/>
        <v>85723.592881164121</v>
      </c>
      <c r="H20" s="86">
        <f t="shared" si="9"/>
        <v>86071.710904926455</v>
      </c>
      <c r="I20" s="86">
        <f t="shared" si="10"/>
        <v>86421.247409116011</v>
      </c>
      <c r="J20" s="86">
        <f t="shared" si="11"/>
        <v>86772.208193171769</v>
      </c>
      <c r="K20" s="86">
        <f t="shared" si="12"/>
        <v>87124.599080333486</v>
      </c>
      <c r="L20" s="86">
        <f t="shared" si="1"/>
        <v>85031.589195543638</v>
      </c>
      <c r="M20" s="148" t="s">
        <v>3857</v>
      </c>
      <c r="N20" s="148">
        <f>512-$AD$19</f>
        <v>296</v>
      </c>
      <c r="O20" s="148">
        <v>0</v>
      </c>
      <c r="P20" s="148">
        <v>0</v>
      </c>
      <c r="Q20" s="148">
        <v>0</v>
      </c>
      <c r="R20" s="148">
        <f t="shared" si="2"/>
        <v>9.7049180327868854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1" t="s">
        <v>4253</v>
      </c>
      <c r="B21" s="192">
        <f t="shared" si="14"/>
        <v>64962.556206461843</v>
      </c>
      <c r="C21" s="192">
        <f>$S21/(1+($C$1-$O21+$P21)/36500)^$N21</f>
        <v>69603.069164306187</v>
      </c>
      <c r="D21" s="192">
        <f t="shared" si="5"/>
        <v>70206.008403086045</v>
      </c>
      <c r="E21" s="192">
        <f t="shared" si="6"/>
        <v>70814.178988319458</v>
      </c>
      <c r="F21" s="192">
        <f t="shared" si="7"/>
        <v>71427.626381870243</v>
      </c>
      <c r="G21" s="192">
        <f t="shared" si="8"/>
        <v>72046.396441279721</v>
      </c>
      <c r="H21" s="192">
        <f t="shared" si="9"/>
        <v>72670.53542327485</v>
      </c>
      <c r="I21" s="192">
        <f t="shared" si="10"/>
        <v>73300.089987195723</v>
      </c>
      <c r="J21" s="192">
        <f t="shared" si="11"/>
        <v>73935.107198538884</v>
      </c>
      <c r="K21" s="192">
        <f t="shared" si="12"/>
        <v>74575.634532506476</v>
      </c>
      <c r="L21" s="192">
        <f t="shared" si="1"/>
        <v>70814.178988319458</v>
      </c>
      <c r="M21" s="191" t="s">
        <v>4261</v>
      </c>
      <c r="N21" s="191">
        <f>846-$AD$19</f>
        <v>630</v>
      </c>
      <c r="O21" s="191">
        <v>0</v>
      </c>
      <c r="P21" s="191">
        <v>0</v>
      </c>
      <c r="Q21" s="191">
        <v>0</v>
      </c>
      <c r="R21" s="191">
        <f t="shared" si="2"/>
        <v>20.655737704918032</v>
      </c>
      <c r="S21" s="192">
        <v>100000</v>
      </c>
      <c r="T21" s="192"/>
      <c r="U21" s="192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1" t="s">
        <v>4323</v>
      </c>
      <c r="B22" s="192">
        <f t="shared" si="14"/>
        <v>78260.941153235224</v>
      </c>
      <c r="C22" s="192">
        <f>$S22/(1+($C$1-$O22+$P22)/36500)^$N22</f>
        <v>81390.35792021385</v>
      </c>
      <c r="D22" s="192">
        <f t="shared" si="5"/>
        <v>81790.257589614819</v>
      </c>
      <c r="E22" s="192">
        <f t="shared" si="6"/>
        <v>82192.127623228167</v>
      </c>
      <c r="F22" s="192">
        <f t="shared" si="7"/>
        <v>82595.97775651206</v>
      </c>
      <c r="G22" s="192">
        <f t="shared" si="8"/>
        <v>83001.817773141971</v>
      </c>
      <c r="H22" s="192">
        <f t="shared" si="9"/>
        <v>83409.657505288895</v>
      </c>
      <c r="I22" s="192">
        <f t="shared" si="10"/>
        <v>83819.506833825639</v>
      </c>
      <c r="J22" s="192">
        <f t="shared" si="11"/>
        <v>84231.375688590531</v>
      </c>
      <c r="K22" s="192">
        <f t="shared" si="12"/>
        <v>84645.274048636085</v>
      </c>
      <c r="L22" s="192">
        <f t="shared" si="1"/>
        <v>82192.127623228167</v>
      </c>
      <c r="M22" s="191" t="s">
        <v>4324</v>
      </c>
      <c r="N22" s="191">
        <f>574-$AD$19</f>
        <v>358</v>
      </c>
      <c r="O22" s="191">
        <v>0</v>
      </c>
      <c r="P22" s="191"/>
      <c r="Q22" s="191">
        <v>0</v>
      </c>
      <c r="R22" s="191">
        <f t="shared" si="2"/>
        <v>11.737704918032787</v>
      </c>
      <c r="S22" s="192">
        <v>100000</v>
      </c>
      <c r="T22" s="192"/>
      <c r="U22" s="192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4254</v>
      </c>
      <c r="B23" s="88">
        <f t="shared" si="14"/>
        <v>83007.634778202977</v>
      </c>
      <c r="C23" s="88">
        <f t="shared" ref="C23:C37" si="16">$S23/(1+($C$1-$O23+$P23)/36500)^$N23</f>
        <v>85517.585796265179</v>
      </c>
      <c r="D23" s="88">
        <f t="shared" si="5"/>
        <v>85836.639316319168</v>
      </c>
      <c r="E23" s="88">
        <f t="shared" si="6"/>
        <v>86156.887570710343</v>
      </c>
      <c r="F23" s="88">
        <f t="shared" si="7"/>
        <v>86478.335049721878</v>
      </c>
      <c r="G23" s="88">
        <f t="shared" si="8"/>
        <v>86800.986260559643</v>
      </c>
      <c r="H23" s="88">
        <f t="shared" si="9"/>
        <v>87124.845727446969</v>
      </c>
      <c r="I23" s="88">
        <f t="shared" si="10"/>
        <v>87449.917991661627</v>
      </c>
      <c r="J23" s="88">
        <f t="shared" si="11"/>
        <v>87776.207611617661</v>
      </c>
      <c r="K23" s="88">
        <f t="shared" si="12"/>
        <v>88103.719162934314</v>
      </c>
      <c r="L23" s="88">
        <f t="shared" si="1"/>
        <v>86156.887570710343</v>
      </c>
      <c r="M23" s="87" t="s">
        <v>4262</v>
      </c>
      <c r="N23" s="87">
        <f>488-$AD$19</f>
        <v>272</v>
      </c>
      <c r="O23" s="87">
        <v>0</v>
      </c>
      <c r="P23" s="87">
        <v>0</v>
      </c>
      <c r="Q23" s="87">
        <v>0</v>
      </c>
      <c r="R23" s="87">
        <f t="shared" si="2"/>
        <v>8.9180327868852451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4255</v>
      </c>
      <c r="B24" s="86">
        <f t="shared" si="14"/>
        <v>81264.314190719742</v>
      </c>
      <c r="C24" s="86">
        <f t="shared" si="16"/>
        <v>84006.27924860669</v>
      </c>
      <c r="D24" s="86">
        <f t="shared" si="5"/>
        <v>84355.488550773691</v>
      </c>
      <c r="E24" s="86">
        <f t="shared" si="6"/>
        <v>84706.154306925586</v>
      </c>
      <c r="F24" s="86">
        <f t="shared" si="7"/>
        <v>85058.282611596456</v>
      </c>
      <c r="G24" s="86">
        <f t="shared" si="8"/>
        <v>85411.879584890194</v>
      </c>
      <c r="H24" s="86">
        <f t="shared" si="9"/>
        <v>85766.951372621697</v>
      </c>
      <c r="I24" s="86">
        <f t="shared" si="10"/>
        <v>86123.504146395033</v>
      </c>
      <c r="J24" s="86">
        <f t="shared" si="11"/>
        <v>86481.544103731241</v>
      </c>
      <c r="K24" s="86">
        <f t="shared" si="12"/>
        <v>86841.077468181596</v>
      </c>
      <c r="L24" s="86">
        <f t="shared" si="1"/>
        <v>84706.154306925586</v>
      </c>
      <c r="M24" s="148" t="s">
        <v>4263</v>
      </c>
      <c r="N24" s="148">
        <f>519-$AD$19</f>
        <v>303</v>
      </c>
      <c r="O24" s="148">
        <v>0</v>
      </c>
      <c r="P24" s="148">
        <v>0</v>
      </c>
      <c r="Q24" s="148">
        <v>0</v>
      </c>
      <c r="R24" s="148">
        <f t="shared" si="2"/>
        <v>9.9344262295081975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1" t="s">
        <v>1005</v>
      </c>
      <c r="B25" s="192">
        <f t="shared" si="14"/>
        <v>75859.342046113437</v>
      </c>
      <c r="C25" s="192">
        <f t="shared" si="16"/>
        <v>86339.080016551496</v>
      </c>
      <c r="D25" s="192">
        <f t="shared" si="5"/>
        <v>87747.073876316295</v>
      </c>
      <c r="E25" s="192">
        <f t="shared" si="6"/>
        <v>89178.048669959942</v>
      </c>
      <c r="F25" s="192">
        <f t="shared" si="7"/>
        <v>90632.379809163598</v>
      </c>
      <c r="G25" s="192">
        <f t="shared" si="8"/>
        <v>92110.448843602673</v>
      </c>
      <c r="H25" s="192">
        <f t="shared" si="9"/>
        <v>93612.6435613215</v>
      </c>
      <c r="I25" s="192">
        <f t="shared" si="10"/>
        <v>95139.358090681984</v>
      </c>
      <c r="J25" s="192">
        <f t="shared" si="11"/>
        <v>96690.993004413423</v>
      </c>
      <c r="K25" s="192">
        <f t="shared" si="12"/>
        <v>98267.95542476156</v>
      </c>
      <c r="L25" s="192">
        <f t="shared" si="1"/>
        <v>89178.048669959942</v>
      </c>
      <c r="M25" s="191" t="s">
        <v>1006</v>
      </c>
      <c r="N25" s="191">
        <f>1397-$AD$19</f>
        <v>1181</v>
      </c>
      <c r="O25" s="191">
        <v>17</v>
      </c>
      <c r="P25" s="191">
        <f>$AI$2</f>
        <v>0.54</v>
      </c>
      <c r="Q25" s="191">
        <v>6</v>
      </c>
      <c r="R25" s="191">
        <f t="shared" si="2"/>
        <v>38.721311475409834</v>
      </c>
      <c r="S25" s="192">
        <v>100000</v>
      </c>
      <c r="T25" s="192">
        <v>96000</v>
      </c>
      <c r="U25" s="192">
        <f t="shared" si="3"/>
        <v>170290.88738050463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95786.880124643343</v>
      </c>
      <c r="C26" s="88">
        <f t="shared" si="16"/>
        <v>99510.193250039447</v>
      </c>
      <c r="D26" s="88">
        <f t="shared" si="5"/>
        <v>99985.699655674165</v>
      </c>
      <c r="E26" s="88">
        <f t="shared" si="6"/>
        <v>100463.48481464328</v>
      </c>
      <c r="F26" s="88">
        <f t="shared" si="7"/>
        <v>100943.55967878674</v>
      </c>
      <c r="G26" s="88">
        <f t="shared" si="8"/>
        <v>101425.93525272157</v>
      </c>
      <c r="H26" s="88">
        <f t="shared" si="9"/>
        <v>101910.62259411416</v>
      </c>
      <c r="I26" s="88">
        <f t="shared" si="10"/>
        <v>102397.632813914</v>
      </c>
      <c r="J26" s="88">
        <f t="shared" si="11"/>
        <v>102886.97707664472</v>
      </c>
      <c r="K26" s="88">
        <f t="shared" si="12"/>
        <v>103378.66660063498</v>
      </c>
      <c r="L26" s="88">
        <f t="shared" si="1"/>
        <v>100463.48481464328</v>
      </c>
      <c r="M26" s="87" t="s">
        <v>977</v>
      </c>
      <c r="N26" s="87">
        <f>564-$AD$19</f>
        <v>348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11.409836065573771</v>
      </c>
      <c r="S26" s="88">
        <v>100000</v>
      </c>
      <c r="T26" s="88">
        <v>100000</v>
      </c>
      <c r="U26" s="88">
        <f t="shared" si="3"/>
        <v>121559.06759970136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90924.781329799182</v>
      </c>
      <c r="C27" s="57">
        <f t="shared" si="16"/>
        <v>94634.712834950391</v>
      </c>
      <c r="D27" s="57">
        <f t="shared" si="5"/>
        <v>95109.002721192592</v>
      </c>
      <c r="E27" s="57">
        <f t="shared" si="6"/>
        <v>95585.676196818982</v>
      </c>
      <c r="F27" s="57">
        <f t="shared" si="7"/>
        <v>96064.745273662746</v>
      </c>
      <c r="G27" s="57">
        <f t="shared" si="8"/>
        <v>96546.222024289164</v>
      </c>
      <c r="H27" s="57">
        <f t="shared" si="9"/>
        <v>97030.118582241281</v>
      </c>
      <c r="I27" s="57">
        <f t="shared" si="10"/>
        <v>97516.447142395002</v>
      </c>
      <c r="J27" s="57">
        <f t="shared" si="11"/>
        <v>98005.219961254901</v>
      </c>
      <c r="K27" s="57">
        <f t="shared" si="12"/>
        <v>98496.44935724375</v>
      </c>
      <c r="L27" s="57">
        <f t="shared" si="1"/>
        <v>95585.676196818982</v>
      </c>
      <c r="M27" s="12" t="s">
        <v>978</v>
      </c>
      <c r="N27" s="12">
        <f>581-$AD$19</f>
        <v>365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11.967213114754099</v>
      </c>
      <c r="S27" s="57">
        <v>100000</v>
      </c>
      <c r="T27" s="57">
        <v>92000</v>
      </c>
      <c r="U27" s="57">
        <f t="shared" si="3"/>
        <v>116739.73952755284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94972.848671174768</v>
      </c>
      <c r="C28" s="86">
        <f t="shared" si="16"/>
        <v>99413.361769200885</v>
      </c>
      <c r="D28" s="86">
        <f t="shared" si="5"/>
        <v>99982.864485519123</v>
      </c>
      <c r="E28" s="86">
        <f t="shared" si="6"/>
        <v>100555.63754276141</v>
      </c>
      <c r="F28" s="86">
        <f t="shared" si="7"/>
        <v>101131.69976589094</v>
      </c>
      <c r="G28" s="86">
        <f t="shared" si="8"/>
        <v>101711.07008848144</v>
      </c>
      <c r="H28" s="86">
        <f t="shared" si="9"/>
        <v>102293.76755336588</v>
      </c>
      <c r="I28" s="86">
        <f t="shared" si="10"/>
        <v>102879.81131324125</v>
      </c>
      <c r="J28" s="86">
        <f t="shared" si="11"/>
        <v>103469.22063134429</v>
      </c>
      <c r="K28" s="86">
        <f t="shared" si="12"/>
        <v>104062.01488205706</v>
      </c>
      <c r="L28" s="86">
        <f t="shared" si="1"/>
        <v>100555.63754276141</v>
      </c>
      <c r="M28" s="148" t="s">
        <v>979</v>
      </c>
      <c r="N28" s="148">
        <f>633-$AD$19</f>
        <v>417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13.672131147540984</v>
      </c>
      <c r="S28" s="86">
        <v>100000</v>
      </c>
      <c r="T28" s="86">
        <v>100000</v>
      </c>
      <c r="U28" s="86">
        <f t="shared" si="3"/>
        <v>126356.80825040807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94177.383323027549</v>
      </c>
      <c r="C29" s="94">
        <f t="shared" si="16"/>
        <v>99318.025829995837</v>
      </c>
      <c r="D29" s="90">
        <f t="shared" si="5"/>
        <v>99980.070483440781</v>
      </c>
      <c r="E29" s="90">
        <f t="shared" si="6"/>
        <v>100646.53742448062</v>
      </c>
      <c r="F29" s="90">
        <f t="shared" si="7"/>
        <v>101317.456254053</v>
      </c>
      <c r="G29" s="90">
        <f t="shared" si="8"/>
        <v>101992.85677162846</v>
      </c>
      <c r="H29" s="90">
        <f t="shared" si="9"/>
        <v>102672.76897656868</v>
      </c>
      <c r="I29" s="90">
        <f t="shared" si="10"/>
        <v>103357.22306943836</v>
      </c>
      <c r="J29" s="90">
        <f t="shared" si="11"/>
        <v>104046.2494534045</v>
      </c>
      <c r="K29" s="90">
        <f t="shared" si="12"/>
        <v>104739.87873555886</v>
      </c>
      <c r="L29" s="92">
        <f t="shared" si="1"/>
        <v>100646.53742448062</v>
      </c>
      <c r="M29" s="91" t="s">
        <v>980</v>
      </c>
      <c r="N29" s="91">
        <f>701-$AD$19</f>
        <v>485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15.901639344262295</v>
      </c>
      <c r="S29" s="92">
        <v>100000</v>
      </c>
      <c r="T29" s="92">
        <v>100000</v>
      </c>
      <c r="U29" s="92">
        <f t="shared" si="3"/>
        <v>131270.24393427523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89995.992912827147</v>
      </c>
      <c r="C30" s="94">
        <f t="shared" si="16"/>
        <v>95189.177974581413</v>
      </c>
      <c r="D30" s="90">
        <f t="shared" si="5"/>
        <v>95859.092800889237</v>
      </c>
      <c r="E30" s="90">
        <f t="shared" si="6"/>
        <v>96533.731573723053</v>
      </c>
      <c r="F30" s="90">
        <f t="shared" si="7"/>
        <v>97213.127669692971</v>
      </c>
      <c r="G30" s="90">
        <f t="shared" si="8"/>
        <v>97897.314701663461</v>
      </c>
      <c r="H30" s="90">
        <f t="shared" si="9"/>
        <v>98586.326520485934</v>
      </c>
      <c r="I30" s="90">
        <f t="shared" si="10"/>
        <v>99280.197216620742</v>
      </c>
      <c r="J30" s="90">
        <f t="shared" si="11"/>
        <v>99978.961121918168</v>
      </c>
      <c r="K30" s="90">
        <f t="shared" si="12"/>
        <v>100682.65281124586</v>
      </c>
      <c r="L30" s="94">
        <f t="shared" si="1"/>
        <v>96533.731573723053</v>
      </c>
      <c r="M30" s="93" t="s">
        <v>1004</v>
      </c>
      <c r="N30" s="93">
        <f>728-$AD$19</f>
        <v>512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16.78688524590164</v>
      </c>
      <c r="S30" s="94">
        <v>100000</v>
      </c>
      <c r="T30" s="94">
        <v>95000</v>
      </c>
      <c r="U30" s="94">
        <f t="shared" si="3"/>
        <v>127782.55558882732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88816.63820321091</v>
      </c>
      <c r="C31" s="86">
        <f t="shared" si="16"/>
        <v>93356.616803891491</v>
      </c>
      <c r="D31" s="86">
        <f t="shared" si="5"/>
        <v>93940.229807375435</v>
      </c>
      <c r="E31" s="86">
        <f t="shared" si="6"/>
        <v>94527.499299480289</v>
      </c>
      <c r="F31" s="86">
        <f t="shared" si="7"/>
        <v>95118.44823959803</v>
      </c>
      <c r="G31" s="86">
        <f t="shared" si="8"/>
        <v>95713.099731644004</v>
      </c>
      <c r="H31" s="86">
        <f t="shared" si="9"/>
        <v>96311.477024891603</v>
      </c>
      <c r="I31" s="86">
        <f t="shared" si="10"/>
        <v>96913.60351494643</v>
      </c>
      <c r="J31" s="86">
        <f t="shared" si="11"/>
        <v>97519.502744650323</v>
      </c>
      <c r="K31" s="86">
        <f t="shared" si="12"/>
        <v>98129.198404981915</v>
      </c>
      <c r="L31" s="86">
        <f t="shared" si="1"/>
        <v>94527.499299480289</v>
      </c>
      <c r="M31" s="148" t="s">
        <v>981</v>
      </c>
      <c r="N31" s="148">
        <f>671-$AD$19</f>
        <v>455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14.918032786885245</v>
      </c>
      <c r="S31" s="86">
        <v>100000</v>
      </c>
      <c r="T31" s="86">
        <v>90600</v>
      </c>
      <c r="U31" s="86">
        <f t="shared" si="3"/>
        <v>121281.11998846086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80089.144784638542</v>
      </c>
      <c r="C32" s="94">
        <f t="shared" si="16"/>
        <v>87129.418614375885</v>
      </c>
      <c r="D32" s="90">
        <f t="shared" si="5"/>
        <v>88051.952987435739</v>
      </c>
      <c r="E32" s="90">
        <f t="shared" si="6"/>
        <v>88984.268076674911</v>
      </c>
      <c r="F32" s="90">
        <f t="shared" si="7"/>
        <v>89926.467713421764</v>
      </c>
      <c r="G32" s="90">
        <f t="shared" si="8"/>
        <v>90878.656832733977</v>
      </c>
      <c r="H32" s="90">
        <f t="shared" si="9"/>
        <v>91840.941485062416</v>
      </c>
      <c r="I32" s="90">
        <f t="shared" si="10"/>
        <v>92813.428848261523</v>
      </c>
      <c r="J32" s="90">
        <f t="shared" si="11"/>
        <v>93796.227239446685</v>
      </c>
      <c r="K32" s="90">
        <f t="shared" si="12"/>
        <v>94789.446127243413</v>
      </c>
      <c r="L32" s="92">
        <f t="shared" si="1"/>
        <v>88984.268076674911</v>
      </c>
      <c r="M32" s="91" t="s">
        <v>982</v>
      </c>
      <c r="N32" s="91">
        <f>985-$AD$19</f>
        <v>769</v>
      </c>
      <c r="O32" s="91">
        <v>15</v>
      </c>
      <c r="P32" s="91">
        <f>$AI$2</f>
        <v>0.54</v>
      </c>
      <c r="Q32" s="91">
        <v>6</v>
      </c>
      <c r="R32" s="91">
        <f t="shared" si="2"/>
        <v>25.21311475409836</v>
      </c>
      <c r="S32" s="92">
        <v>100000</v>
      </c>
      <c r="T32" s="92">
        <v>85800</v>
      </c>
      <c r="U32" s="92">
        <f t="shared" si="3"/>
        <v>135594.9800113258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90424.904334675521</v>
      </c>
      <c r="C33" s="94">
        <f t="shared" si="16"/>
        <v>91892.476889239435</v>
      </c>
      <c r="D33" s="90">
        <f t="shared" si="5"/>
        <v>92077.601732170908</v>
      </c>
      <c r="E33" s="90">
        <f t="shared" si="6"/>
        <v>92263.102066314517</v>
      </c>
      <c r="F33" s="90">
        <f t="shared" si="7"/>
        <v>92448.978658444918</v>
      </c>
      <c r="G33" s="90">
        <f t="shared" si="8"/>
        <v>92635.232276904178</v>
      </c>
      <c r="H33" s="90">
        <f t="shared" si="9"/>
        <v>92821.863691622886</v>
      </c>
      <c r="I33" s="90">
        <f t="shared" si="10"/>
        <v>93008.873674107395</v>
      </c>
      <c r="J33" s="90">
        <f t="shared" si="11"/>
        <v>93196.262997453203</v>
      </c>
      <c r="K33" s="90">
        <f t="shared" si="12"/>
        <v>93384.032436350375</v>
      </c>
      <c r="L33" s="94">
        <f t="shared" si="1"/>
        <v>92263.102066314517</v>
      </c>
      <c r="M33" s="93" t="s">
        <v>983</v>
      </c>
      <c r="N33" s="93">
        <f>363-$AD$19</f>
        <v>147</v>
      </c>
      <c r="O33" s="93">
        <v>0</v>
      </c>
      <c r="P33" s="93">
        <v>0</v>
      </c>
      <c r="Q33" s="93">
        <v>0</v>
      </c>
      <c r="R33" s="93">
        <f t="shared" si="2"/>
        <v>4.8196721311475406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85217.374506482374</v>
      </c>
      <c r="C34" s="94">
        <f t="shared" si="16"/>
        <v>95650.506107120236</v>
      </c>
      <c r="D34" s="90">
        <f t="shared" si="5"/>
        <v>97041.510766607171</v>
      </c>
      <c r="E34" s="90">
        <f t="shared" si="6"/>
        <v>98452.763687112049</v>
      </c>
      <c r="F34" s="90">
        <f t="shared" si="7"/>
        <v>99884.559897392828</v>
      </c>
      <c r="G34" s="90">
        <f t="shared" si="8"/>
        <v>101337.19872903782</v>
      </c>
      <c r="H34" s="90">
        <f t="shared" si="9"/>
        <v>102810.98387935005</v>
      </c>
      <c r="I34" s="90">
        <f t="shared" si="10"/>
        <v>104306.22347503326</v>
      </c>
      <c r="J34" s="90">
        <f t="shared" si="11"/>
        <v>105823.23013685815</v>
      </c>
      <c r="K34" s="90">
        <f t="shared" si="12"/>
        <v>107362.32104532352</v>
      </c>
      <c r="L34" s="90">
        <f t="shared" si="1"/>
        <v>98452.763687112049</v>
      </c>
      <c r="M34" s="89" t="s">
        <v>974</v>
      </c>
      <c r="N34" s="89">
        <f>1270-$AD$19</f>
        <v>1054</v>
      </c>
      <c r="O34" s="89">
        <v>20</v>
      </c>
      <c r="P34" s="89">
        <f>$AI$2</f>
        <v>0.54</v>
      </c>
      <c r="Q34" s="89">
        <v>6</v>
      </c>
      <c r="R34" s="89">
        <f t="shared" si="2"/>
        <v>34.557377049180324</v>
      </c>
      <c r="S34" s="90">
        <v>100000</v>
      </c>
      <c r="T34" s="90">
        <v>100000</v>
      </c>
      <c r="U34" s="90">
        <f t="shared" si="3"/>
        <v>175366.14197660098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98679.895907218641</v>
      </c>
      <c r="C35" s="86">
        <f t="shared" si="16"/>
        <v>100183.53930888239</v>
      </c>
      <c r="D35" s="86">
        <f t="shared" si="5"/>
        <v>100373.11031398214</v>
      </c>
      <c r="E35" s="86">
        <f t="shared" si="6"/>
        <v>100563.0426366864</v>
      </c>
      <c r="F35" s="86">
        <f t="shared" si="7"/>
        <v>100753.33697062338</v>
      </c>
      <c r="G35" s="86">
        <f t="shared" si="8"/>
        <v>100943.99401075648</v>
      </c>
      <c r="H35" s="86">
        <f t="shared" si="9"/>
        <v>101135.01445340022</v>
      </c>
      <c r="I35" s="86">
        <f t="shared" si="10"/>
        <v>101326.3989962117</v>
      </c>
      <c r="J35" s="86">
        <f t="shared" si="11"/>
        <v>101518.14833819657</v>
      </c>
      <c r="K35" s="86">
        <f t="shared" si="12"/>
        <v>101710.2631797131</v>
      </c>
      <c r="L35" s="86">
        <f t="shared" si="1"/>
        <v>100563.0426366864</v>
      </c>
      <c r="M35" s="148" t="s">
        <v>976</v>
      </c>
      <c r="N35" s="148">
        <f>354-$AD$19</f>
        <v>138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4.5245901639344259</v>
      </c>
      <c r="S35" s="86">
        <v>100000</v>
      </c>
      <c r="T35" s="86">
        <v>103000</v>
      </c>
      <c r="U35" s="86">
        <f t="shared" si="3"/>
        <v>108458.69719320536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1" t="s">
        <v>997</v>
      </c>
      <c r="B36" s="192">
        <f t="shared" si="14"/>
        <v>94058.155687793798</v>
      </c>
      <c r="C36" s="192">
        <f t="shared" si="16"/>
        <v>100000</v>
      </c>
      <c r="D36" s="192">
        <f t="shared" si="5"/>
        <v>100768.69809948347</v>
      </c>
      <c r="E36" s="192">
        <f t="shared" si="6"/>
        <v>101543.31581859975</v>
      </c>
      <c r="F36" s="192">
        <f t="shared" si="7"/>
        <v>102323.89882542257</v>
      </c>
      <c r="G36" s="192">
        <f t="shared" si="8"/>
        <v>103110.4931409431</v>
      </c>
      <c r="H36" s="192">
        <f t="shared" si="9"/>
        <v>103903.1451418786</v>
      </c>
      <c r="I36" s="192">
        <f t="shared" si="10"/>
        <v>104701.9015633441</v>
      </c>
      <c r="J36" s="192">
        <f t="shared" si="11"/>
        <v>105506.80950168159</v>
      </c>
      <c r="K36" s="192">
        <f t="shared" si="12"/>
        <v>106317.91641722663</v>
      </c>
      <c r="L36" s="192">
        <f t="shared" si="1"/>
        <v>101543.31581859975</v>
      </c>
      <c r="M36" s="191" t="s">
        <v>998</v>
      </c>
      <c r="N36" s="191">
        <f>775-$AD$19</f>
        <v>559</v>
      </c>
      <c r="O36" s="191">
        <v>21</v>
      </c>
      <c r="P36" s="191">
        <v>0</v>
      </c>
      <c r="Q36" s="191">
        <v>1</v>
      </c>
      <c r="R36" s="191">
        <f t="shared" si="2"/>
        <v>18.327868852459016</v>
      </c>
      <c r="S36" s="192">
        <v>100000</v>
      </c>
      <c r="T36" s="192">
        <v>104000</v>
      </c>
      <c r="U36" s="192">
        <f t="shared" si="3"/>
        <v>137917.94660601462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77039.728897170353</v>
      </c>
      <c r="C37" s="88">
        <f t="shared" si="16"/>
        <v>87050.737582922302</v>
      </c>
      <c r="D37" s="88">
        <f t="shared" si="5"/>
        <v>88390.395616801339</v>
      </c>
      <c r="E37" s="88">
        <f t="shared" si="6"/>
        <v>89750.688949617921</v>
      </c>
      <c r="F37" s="88">
        <f t="shared" si="7"/>
        <v>91131.935724446565</v>
      </c>
      <c r="G37" s="88">
        <f t="shared" si="8"/>
        <v>92534.458993841836</v>
      </c>
      <c r="H37" s="88">
        <f t="shared" si="9"/>
        <v>93958.586795604075</v>
      </c>
      <c r="I37" s="88">
        <f t="shared" si="10"/>
        <v>95404.652229650441</v>
      </c>
      <c r="J37" s="88">
        <f t="shared" si="11"/>
        <v>96872.993536483278</v>
      </c>
      <c r="K37" s="88">
        <f t="shared" si="12"/>
        <v>98363.954176298401</v>
      </c>
      <c r="L37" s="88">
        <f t="shared" si="1"/>
        <v>89750.688949617921</v>
      </c>
      <c r="M37" s="87" t="s">
        <v>1047</v>
      </c>
      <c r="N37" s="87">
        <f>1331-$AD$19</f>
        <v>1115</v>
      </c>
      <c r="O37" s="87">
        <v>17</v>
      </c>
      <c r="P37" s="87">
        <f>AI2</f>
        <v>0.54</v>
      </c>
      <c r="Q37" s="87">
        <v>6</v>
      </c>
      <c r="R37" s="87">
        <f t="shared" si="2"/>
        <v>36.557377049180324</v>
      </c>
      <c r="S37" s="88">
        <v>100000</v>
      </c>
      <c r="T37" s="88"/>
      <c r="U37" s="88">
        <f t="shared" si="3"/>
        <v>165299.41360633995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4246</v>
      </c>
      <c r="AD62" s="25"/>
      <c r="AE62" s="26"/>
    </row>
    <row r="63" spans="1:31" x14ac:dyDescent="0.25">
      <c r="A63">
        <v>611</v>
      </c>
      <c r="B63" t="s">
        <v>4238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4239</v>
      </c>
      <c r="AD65" s="25"/>
      <c r="AE65" s="26"/>
    </row>
    <row r="66" spans="1:31" x14ac:dyDescent="0.25">
      <c r="A66">
        <v>702</v>
      </c>
      <c r="B66" t="s">
        <v>4240</v>
      </c>
      <c r="AD66" s="25"/>
      <c r="AE66" s="26"/>
    </row>
    <row r="67" spans="1:31" x14ac:dyDescent="0.25">
      <c r="A67">
        <v>704</v>
      </c>
      <c r="B67" t="s">
        <v>4241</v>
      </c>
      <c r="AD67" s="25"/>
      <c r="AE67" s="26"/>
    </row>
    <row r="68" spans="1:31" x14ac:dyDescent="0.25">
      <c r="A68">
        <v>705</v>
      </c>
      <c r="B68" t="s">
        <v>4242</v>
      </c>
      <c r="AD68" s="25"/>
      <c r="AE68" s="26"/>
    </row>
    <row r="69" spans="1:31" x14ac:dyDescent="0.25">
      <c r="A69">
        <v>706</v>
      </c>
      <c r="B69" t="s">
        <v>4243</v>
      </c>
      <c r="AD69" s="25"/>
      <c r="AE69" s="26"/>
    </row>
    <row r="70" spans="1:31" x14ac:dyDescent="0.25">
      <c r="A70" s="25">
        <v>711</v>
      </c>
      <c r="B70" s="25" t="s">
        <v>4244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4245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abSelected="1" workbookViewId="0">
      <selection activeCell="C17" sqref="C1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1224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14100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4284</v>
      </c>
      <c r="B8" s="95">
        <f>B2*B4*B5*B6/(B1*B3)+B7</f>
        <v>4066939.2437299029</v>
      </c>
      <c r="C8" s="99">
        <f>B2*B4*B5/(B1*B3)+B7/B6</f>
        <v>288.43540735673071</v>
      </c>
      <c r="D8" s="99" t="s">
        <v>4287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4285</v>
      </c>
      <c r="B9" s="95">
        <v>4350000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4286</v>
      </c>
      <c r="B10" s="95">
        <f>B9-B8</f>
        <v>283060.7562700971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4180</v>
      </c>
      <c r="J11" s="69" t="s">
        <v>4179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1091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6" t="s">
        <v>1092</v>
      </c>
      <c r="R23" s="197" t="s">
        <v>1093</v>
      </c>
      <c r="S23" s="196" t="s">
        <v>1094</v>
      </c>
      <c r="T23" s="198" t="s">
        <v>1095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4228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-100</v>
      </c>
      <c r="C91" s="144">
        <f>$B$89/(1+(C$90/36500))^$B91</f>
        <v>3151615.5717418836</v>
      </c>
      <c r="D91" s="144">
        <f>$B$89/(1+(D$90/36500))^$B91</f>
        <v>3160257.5877279416</v>
      </c>
      <c r="E91" s="144">
        <f t="shared" ref="E91:K106" si="0">$B$89/(1+(E$90/36500))^$B91</f>
        <v>3168923.0632912689</v>
      </c>
      <c r="F91" s="144">
        <f t="shared" si="0"/>
        <v>3177612.061470137</v>
      </c>
      <c r="G91" s="144">
        <f t="shared" si="0"/>
        <v>3186324.6454703514</v>
      </c>
      <c r="H91" s="144">
        <f t="shared" si="0"/>
        <v>3195060.8786661243</v>
      </c>
      <c r="I91" s="144">
        <f t="shared" si="0"/>
        <v>3203820.8245999585</v>
      </c>
      <c r="J91" s="144">
        <f t="shared" si="0"/>
        <v>3212604.5469833519</v>
      </c>
      <c r="K91" s="144">
        <f>$B$89/(1+(K$90/36500))^$B91</f>
        <v>3221412.1096973075</v>
      </c>
      <c r="L91" s="99"/>
    </row>
    <row r="92" spans="1:12" x14ac:dyDescent="0.25">
      <c r="A92" s="145" t="s">
        <v>3860</v>
      </c>
      <c r="B92" s="91">
        <f>120-'اوراق بدون ریسک'!$AD$19</f>
        <v>-96</v>
      </c>
      <c r="C92" s="146">
        <f t="shared" ref="C92:K112" si="1">$B$89/(1+(C$90/36500))^$B92</f>
        <v>3145406.3433307335</v>
      </c>
      <c r="D92" s="146">
        <f t="shared" si="1"/>
        <v>3153685.8798014801</v>
      </c>
      <c r="E92" s="146">
        <f t="shared" si="0"/>
        <v>3161986.9825778753</v>
      </c>
      <c r="F92" s="146">
        <f t="shared" si="0"/>
        <v>3170309.7072423906</v>
      </c>
      <c r="G92" s="146">
        <f t="shared" si="0"/>
        <v>3178654.1095191031</v>
      </c>
      <c r="H92" s="146">
        <f t="shared" si="0"/>
        <v>3187020.2452744674</v>
      </c>
      <c r="I92" s="146">
        <f t="shared" si="0"/>
        <v>3195408.1705171387</v>
      </c>
      <c r="J92" s="146">
        <f t="shared" si="0"/>
        <v>3203817.9413985782</v>
      </c>
      <c r="K92" s="146">
        <f t="shared" si="0"/>
        <v>3212249.6142134829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-79</v>
      </c>
      <c r="C93" s="149">
        <f t="shared" si="1"/>
        <v>3119153.3088680967</v>
      </c>
      <c r="D93" s="149">
        <f t="shared" si="1"/>
        <v>3125908.2367777093</v>
      </c>
      <c r="E93" s="149">
        <f t="shared" si="0"/>
        <v>3132677.6077842047</v>
      </c>
      <c r="F93" s="149">
        <f t="shared" si="0"/>
        <v>3139461.4523724406</v>
      </c>
      <c r="G93" s="149">
        <f t="shared" si="0"/>
        <v>3146259.8010906889</v>
      </c>
      <c r="H93" s="149">
        <f t="shared" si="0"/>
        <v>3153072.6845510942</v>
      </c>
      <c r="I93" s="149">
        <f t="shared" si="0"/>
        <v>3159900.1334293764</v>
      </c>
      <c r="J93" s="149">
        <f t="shared" si="0"/>
        <v>3166742.1784651624</v>
      </c>
      <c r="K93" s="149">
        <f t="shared" si="0"/>
        <v>3173598.8504621712</v>
      </c>
      <c r="L93" s="144">
        <f t="shared" ref="L93:L114" si="2">$B$89/(1+(L$92/36500))^$B91</f>
        <v>3230243.5767927202</v>
      </c>
    </row>
    <row r="94" spans="1:12" x14ac:dyDescent="0.25">
      <c r="A94" s="150" t="s">
        <v>3862</v>
      </c>
      <c r="B94" s="151">
        <f>116-'اوراق بدون ریسک'!$AD$19</f>
        <v>-100</v>
      </c>
      <c r="C94" s="152">
        <f t="shared" si="1"/>
        <v>3151615.5717418836</v>
      </c>
      <c r="D94" s="152">
        <f t="shared" si="1"/>
        <v>3160257.5877279416</v>
      </c>
      <c r="E94" s="152">
        <f t="shared" si="0"/>
        <v>3168923.0632912689</v>
      </c>
      <c r="F94" s="152">
        <f t="shared" si="0"/>
        <v>3177612.061470137</v>
      </c>
      <c r="G94" s="152">
        <f t="shared" si="0"/>
        <v>3186324.6454703514</v>
      </c>
      <c r="H94" s="152">
        <f t="shared" si="0"/>
        <v>3195060.8786661243</v>
      </c>
      <c r="I94" s="152">
        <f t="shared" si="0"/>
        <v>3203820.8245999585</v>
      </c>
      <c r="J94" s="152">
        <f t="shared" si="0"/>
        <v>3212604.5469833519</v>
      </c>
      <c r="K94" s="152">
        <f t="shared" si="0"/>
        <v>3221412.1096973075</v>
      </c>
      <c r="L94" s="146">
        <f t="shared" si="2"/>
        <v>3220703.2454000842</v>
      </c>
    </row>
    <row r="95" spans="1:12" x14ac:dyDescent="0.25">
      <c r="A95" s="153" t="s">
        <v>3863</v>
      </c>
      <c r="B95" s="154">
        <f>167-'اوراق بدون ریسک'!$AD$19</f>
        <v>-49</v>
      </c>
      <c r="C95" s="155">
        <f t="shared" si="1"/>
        <v>3073357.8185127769</v>
      </c>
      <c r="D95" s="155">
        <f t="shared" si="1"/>
        <v>3077484.3738508406</v>
      </c>
      <c r="E95" s="155">
        <f t="shared" si="0"/>
        <v>3081616.3566345093</v>
      </c>
      <c r="F95" s="155">
        <f t="shared" si="0"/>
        <v>3085753.7738533146</v>
      </c>
      <c r="G95" s="155">
        <f t="shared" si="0"/>
        <v>3089896.6325055403</v>
      </c>
      <c r="H95" s="155">
        <f t="shared" si="0"/>
        <v>3094044.9395984351</v>
      </c>
      <c r="I95" s="155">
        <f t="shared" si="0"/>
        <v>3098198.7021479611</v>
      </c>
      <c r="J95" s="155">
        <f t="shared" si="0"/>
        <v>3102357.9271789291</v>
      </c>
      <c r="K95" s="155">
        <f t="shared" si="0"/>
        <v>3106522.6217250354</v>
      </c>
      <c r="L95" s="149">
        <f t="shared" si="2"/>
        <v>3180470.1802882901</v>
      </c>
    </row>
    <row r="96" spans="1:12" x14ac:dyDescent="0.25">
      <c r="A96" s="158" t="s">
        <v>3864</v>
      </c>
      <c r="B96" s="23">
        <f>181-'اوراق بدون ریسک'!$AD$19</f>
        <v>-35</v>
      </c>
      <c r="C96" s="159">
        <f t="shared" si="1"/>
        <v>3052217.293834981</v>
      </c>
      <c r="D96" s="159">
        <f t="shared" si="1"/>
        <v>3055143.9971337849</v>
      </c>
      <c r="E96" s="159">
        <f t="shared" si="0"/>
        <v>3058073.426527184</v>
      </c>
      <c r="F96" s="159">
        <f t="shared" si="0"/>
        <v>3061005.5844796645</v>
      </c>
      <c r="G96" s="159">
        <f t="shared" si="0"/>
        <v>3063940.4734578342</v>
      </c>
      <c r="H96" s="159">
        <f t="shared" si="0"/>
        <v>3066878.0959305628</v>
      </c>
      <c r="I96" s="159">
        <f t="shared" si="0"/>
        <v>3069818.4543688013</v>
      </c>
      <c r="J96" s="159">
        <f t="shared" si="0"/>
        <v>3072761.5512456717</v>
      </c>
      <c r="K96" s="159">
        <f t="shared" si="0"/>
        <v>3075707.3890364883</v>
      </c>
      <c r="L96" s="152">
        <f t="shared" si="2"/>
        <v>3230243.5767927202</v>
      </c>
    </row>
    <row r="97" spans="1:12" x14ac:dyDescent="0.25">
      <c r="A97" s="160" t="s">
        <v>3865</v>
      </c>
      <c r="B97" s="87">
        <f>197-'اوراق بدون ریسک'!$AD$19</f>
        <v>-19</v>
      </c>
      <c r="C97" s="140">
        <f t="shared" si="1"/>
        <v>3028234.698743063</v>
      </c>
      <c r="D97" s="140">
        <f t="shared" si="1"/>
        <v>3029810.6514665415</v>
      </c>
      <c r="E97" s="140">
        <f t="shared" si="0"/>
        <v>3031387.3811593023</v>
      </c>
      <c r="F97" s="140">
        <f t="shared" si="0"/>
        <v>3032964.8881831132</v>
      </c>
      <c r="G97" s="140">
        <f t="shared" si="0"/>
        <v>3034543.1728998786</v>
      </c>
      <c r="H97" s="140">
        <f t="shared" si="0"/>
        <v>3036122.2356717158</v>
      </c>
      <c r="I97" s="140">
        <f t="shared" si="0"/>
        <v>3037702.0768608563</v>
      </c>
      <c r="J97" s="140">
        <f t="shared" si="0"/>
        <v>3039282.6968296934</v>
      </c>
      <c r="K97" s="140">
        <f t="shared" si="0"/>
        <v>3040864.0959407929</v>
      </c>
      <c r="L97" s="155">
        <f t="shared" si="2"/>
        <v>3110692.7928288514</v>
      </c>
    </row>
    <row r="98" spans="1:12" x14ac:dyDescent="0.25">
      <c r="A98" s="161" t="s">
        <v>3866</v>
      </c>
      <c r="B98" s="23">
        <f>214-'اوراق بدون ریسک'!$AD$19</f>
        <v>-2</v>
      </c>
      <c r="C98" s="106">
        <f t="shared" si="1"/>
        <v>3002959.6337023829</v>
      </c>
      <c r="D98" s="106">
        <f t="shared" si="1"/>
        <v>3003124.1005817228</v>
      </c>
      <c r="E98" s="106">
        <f t="shared" si="0"/>
        <v>3003288.5719647217</v>
      </c>
      <c r="F98" s="106">
        <f t="shared" si="0"/>
        <v>3003453.04785138</v>
      </c>
      <c r="G98" s="106">
        <f t="shared" si="0"/>
        <v>3003617.5282416958</v>
      </c>
      <c r="H98" s="106">
        <f t="shared" si="0"/>
        <v>3003782.0131356721</v>
      </c>
      <c r="I98" s="106">
        <f t="shared" si="0"/>
        <v>3003946.5025333082</v>
      </c>
      <c r="J98" s="106">
        <f t="shared" si="0"/>
        <v>3004110.9964346034</v>
      </c>
      <c r="K98" s="106">
        <f t="shared" si="0"/>
        <v>3004275.4948395574</v>
      </c>
      <c r="L98" s="159">
        <f t="shared" si="2"/>
        <v>3078655.9702187395</v>
      </c>
    </row>
    <row r="99" spans="1:12" x14ac:dyDescent="0.25">
      <c r="A99" s="162" t="s">
        <v>3867</v>
      </c>
      <c r="B99" s="163">
        <f>272-'اوراق بدون ریسک'!$AD$19</f>
        <v>56</v>
      </c>
      <c r="C99" s="164">
        <f t="shared" si="1"/>
        <v>2918304.0933471466</v>
      </c>
      <c r="D99" s="164">
        <f t="shared" si="1"/>
        <v>2913832.3929863106</v>
      </c>
      <c r="E99" s="164">
        <f t="shared" si="0"/>
        <v>2909367.666751463</v>
      </c>
      <c r="F99" s="164">
        <f t="shared" si="0"/>
        <v>2904909.9035751373</v>
      </c>
      <c r="G99" s="164">
        <f t="shared" si="0"/>
        <v>2900459.0924077965</v>
      </c>
      <c r="H99" s="164">
        <f t="shared" si="0"/>
        <v>2896015.2222175817</v>
      </c>
      <c r="I99" s="164">
        <f t="shared" si="0"/>
        <v>2891578.2819905696</v>
      </c>
      <c r="J99" s="164">
        <f t="shared" si="0"/>
        <v>2887148.260730607</v>
      </c>
      <c r="K99" s="164">
        <f t="shared" si="0"/>
        <v>2882725.1474592537</v>
      </c>
      <c r="L99" s="140">
        <f t="shared" si="2"/>
        <v>3042446.2745568794</v>
      </c>
    </row>
    <row r="100" spans="1:12" x14ac:dyDescent="0.25">
      <c r="A100" s="147" t="s">
        <v>3868</v>
      </c>
      <c r="B100" s="148">
        <f>302-'اوراق بدون ریسک'!$AD$19</f>
        <v>86</v>
      </c>
      <c r="C100" s="149">
        <f t="shared" si="1"/>
        <v>2875457.4764204295</v>
      </c>
      <c r="D100" s="149">
        <f t="shared" si="1"/>
        <v>2868693.8253438743</v>
      </c>
      <c r="E100" s="149">
        <f t="shared" si="0"/>
        <v>2861946.2682808191</v>
      </c>
      <c r="F100" s="149">
        <f t="shared" si="0"/>
        <v>2855214.7664966621</v>
      </c>
      <c r="G100" s="149">
        <f t="shared" si="0"/>
        <v>2848499.2813511775</v>
      </c>
      <c r="H100" s="149">
        <f t="shared" si="0"/>
        <v>2841799.774297955</v>
      </c>
      <c r="I100" s="149">
        <f t="shared" si="0"/>
        <v>2835116.2068845932</v>
      </c>
      <c r="J100" s="149">
        <f t="shared" si="0"/>
        <v>2828448.5407522707</v>
      </c>
      <c r="K100" s="149">
        <f t="shared" si="0"/>
        <v>2821796.7376354639</v>
      </c>
      <c r="L100" s="106">
        <f t="shared" si="2"/>
        <v>3004439.997748171</v>
      </c>
    </row>
    <row r="101" spans="1:12" x14ac:dyDescent="0.25">
      <c r="A101" s="150" t="s">
        <v>3869</v>
      </c>
      <c r="B101" s="151">
        <f>319-'اوراق بدون ریسک'!$AD$19</f>
        <v>103</v>
      </c>
      <c r="C101" s="152">
        <f t="shared" si="1"/>
        <v>2851457.5616290164</v>
      </c>
      <c r="D101" s="152">
        <f t="shared" si="1"/>
        <v>2843426.3903290988</v>
      </c>
      <c r="E101" s="152">
        <f t="shared" si="0"/>
        <v>2835418.0579249351</v>
      </c>
      <c r="F101" s="152">
        <f t="shared" si="0"/>
        <v>2827432.4988449803</v>
      </c>
      <c r="G101" s="152">
        <f t="shared" si="0"/>
        <v>2819469.6477078465</v>
      </c>
      <c r="H101" s="152">
        <f t="shared" si="0"/>
        <v>2811529.4393213592</v>
      </c>
      <c r="I101" s="152">
        <f t="shared" si="0"/>
        <v>2803611.8086825064</v>
      </c>
      <c r="J101" s="152">
        <f t="shared" si="0"/>
        <v>2795716.6909766505</v>
      </c>
      <c r="K101" s="152">
        <f t="shared" si="0"/>
        <v>2787844.0215769149</v>
      </c>
      <c r="L101" s="164">
        <f t="shared" si="2"/>
        <v>2878308.9312157789</v>
      </c>
    </row>
    <row r="102" spans="1:12" x14ac:dyDescent="0.25">
      <c r="A102" s="147" t="s">
        <v>3870</v>
      </c>
      <c r="B102" s="148">
        <f>334-'اوراق بدون ریسک'!$AD$19</f>
        <v>118</v>
      </c>
      <c r="C102" s="149">
        <f t="shared" si="1"/>
        <v>2830447.5719670076</v>
      </c>
      <c r="D102" s="149">
        <f t="shared" si="1"/>
        <v>2821316.4798097247</v>
      </c>
      <c r="E102" s="149">
        <f t="shared" si="0"/>
        <v>2812215.0936003211</v>
      </c>
      <c r="F102" s="149">
        <f t="shared" si="0"/>
        <v>2803143.3158877459</v>
      </c>
      <c r="G102" s="149">
        <f t="shared" si="0"/>
        <v>2794101.0495434208</v>
      </c>
      <c r="H102" s="149">
        <f t="shared" si="0"/>
        <v>2785088.19775972</v>
      </c>
      <c r="I102" s="149">
        <f t="shared" si="0"/>
        <v>2776104.6640494759</v>
      </c>
      <c r="J102" s="149">
        <f t="shared" si="0"/>
        <v>2767150.3522446412</v>
      </c>
      <c r="K102" s="149">
        <f t="shared" si="0"/>
        <v>2758225.1664951546</v>
      </c>
      <c r="L102" s="149">
        <f t="shared" si="2"/>
        <v>2815160.7593617667</v>
      </c>
    </row>
    <row r="103" spans="1:12" x14ac:dyDescent="0.25">
      <c r="A103" s="150" t="s">
        <v>3871</v>
      </c>
      <c r="B103" s="151">
        <f>349-'اوراق بدون ریسک'!$AD$19</f>
        <v>133</v>
      </c>
      <c r="C103" s="152">
        <f t="shared" si="1"/>
        <v>2809592.3872270635</v>
      </c>
      <c r="D103" s="152">
        <f t="shared" si="1"/>
        <v>2799378.4914983031</v>
      </c>
      <c r="E103" s="152">
        <f t="shared" si="0"/>
        <v>2789202.0051749391</v>
      </c>
      <c r="F103" s="152">
        <f t="shared" si="0"/>
        <v>2779062.7902225852</v>
      </c>
      <c r="G103" s="152">
        <f t="shared" si="0"/>
        <v>2768960.7091200748</v>
      </c>
      <c r="H103" s="152">
        <f t="shared" si="0"/>
        <v>2758895.6248570471</v>
      </c>
      <c r="I103" s="152">
        <f t="shared" si="0"/>
        <v>2748867.4009326808</v>
      </c>
      <c r="J103" s="152">
        <f t="shared" si="0"/>
        <v>2738875.9013534798</v>
      </c>
      <c r="K103" s="152">
        <f t="shared" si="0"/>
        <v>2728920.990631301</v>
      </c>
      <c r="L103" s="152">
        <f t="shared" si="2"/>
        <v>2779993.7360436968</v>
      </c>
    </row>
    <row r="104" spans="1:12" x14ac:dyDescent="0.25">
      <c r="A104" s="162" t="s">
        <v>3872</v>
      </c>
      <c r="B104" s="163">
        <f>361-'اوراق بدون ریسک'!$AD$19</f>
        <v>145</v>
      </c>
      <c r="C104" s="164">
        <f t="shared" si="1"/>
        <v>2793018.9321946874</v>
      </c>
      <c r="D104" s="164">
        <f t="shared" si="1"/>
        <v>2781950.986137568</v>
      </c>
      <c r="E104" s="164">
        <f t="shared" si="0"/>
        <v>2770927.2004977707</v>
      </c>
      <c r="F104" s="164">
        <f t="shared" si="0"/>
        <v>2759947.3978759865</v>
      </c>
      <c r="G104" s="164">
        <f t="shared" si="0"/>
        <v>2749011.4015905331</v>
      </c>
      <c r="H104" s="164">
        <f t="shared" si="0"/>
        <v>2738119.0356738856</v>
      </c>
      <c r="I104" s="164">
        <f t="shared" si="0"/>
        <v>2727270.124870474</v>
      </c>
      <c r="J104" s="164">
        <f t="shared" si="0"/>
        <v>2716464.4946334572</v>
      </c>
      <c r="K104" s="164">
        <f t="shared" si="0"/>
        <v>2705701.9711217494</v>
      </c>
      <c r="L104" s="149">
        <f t="shared" si="2"/>
        <v>2749329.0112679503</v>
      </c>
    </row>
    <row r="105" spans="1:12" x14ac:dyDescent="0.25">
      <c r="A105" s="156" t="s">
        <v>3873</v>
      </c>
      <c r="B105" s="93">
        <f>372-'اوراق بدون ریسک'!$AD$19</f>
        <v>156</v>
      </c>
      <c r="C105" s="157">
        <f t="shared" si="1"/>
        <v>2777912.4962257505</v>
      </c>
      <c r="D105" s="157">
        <f t="shared" si="1"/>
        <v>2766071.0990472161</v>
      </c>
      <c r="E105" s="157">
        <f t="shared" si="0"/>
        <v>2754280.5003253412</v>
      </c>
      <c r="F105" s="157">
        <f t="shared" si="0"/>
        <v>2742540.4807575853</v>
      </c>
      <c r="G105" s="157">
        <f t="shared" si="0"/>
        <v>2730850.8219942949</v>
      </c>
      <c r="H105" s="157">
        <f t="shared" si="0"/>
        <v>2719211.3066339544</v>
      </c>
      <c r="I105" s="157">
        <f t="shared" si="0"/>
        <v>2707621.7182197962</v>
      </c>
      <c r="J105" s="157">
        <f t="shared" si="0"/>
        <v>2696081.8412353154</v>
      </c>
      <c r="K105" s="157">
        <f t="shared" si="0"/>
        <v>2684591.4611000721</v>
      </c>
      <c r="L105" s="152">
        <f t="shared" si="2"/>
        <v>2719002.533781535</v>
      </c>
    </row>
    <row r="106" spans="1:12" x14ac:dyDescent="0.25">
      <c r="A106" s="150" t="s">
        <v>3874</v>
      </c>
      <c r="B106" s="151">
        <f>391-'اوراق بدون ریسک'!$AD$19</f>
        <v>175</v>
      </c>
      <c r="C106" s="152">
        <f t="shared" si="1"/>
        <v>2752011.7552765496</v>
      </c>
      <c r="D106" s="152">
        <f t="shared" si="1"/>
        <v>2738855.4110221392</v>
      </c>
      <c r="E106" s="152">
        <f t="shared" si="0"/>
        <v>2725762.3200292015</v>
      </c>
      <c r="F106" s="152">
        <f t="shared" si="0"/>
        <v>2712732.1764682499</v>
      </c>
      <c r="G106" s="152">
        <f t="shared" si="0"/>
        <v>2699764.6759969792</v>
      </c>
      <c r="H106" s="152">
        <f t="shared" si="0"/>
        <v>2686859.5157523556</v>
      </c>
      <c r="I106" s="152">
        <f t="shared" si="0"/>
        <v>2674016.3943442111</v>
      </c>
      <c r="J106" s="152">
        <f t="shared" si="0"/>
        <v>2661235.0118476558</v>
      </c>
      <c r="K106" s="152">
        <f t="shared" si="0"/>
        <v>2648515.0697958153</v>
      </c>
      <c r="L106" s="164">
        <f t="shared" si="2"/>
        <v>2694982.3811972342</v>
      </c>
    </row>
    <row r="107" spans="1:12" x14ac:dyDescent="0.25">
      <c r="A107" s="156" t="s">
        <v>3875</v>
      </c>
      <c r="B107" s="93">
        <f>407-'اوراق بدون ریسک'!$AD$19</f>
        <v>191</v>
      </c>
      <c r="C107" s="157">
        <f t="shared" si="1"/>
        <v>2730388.0053068777</v>
      </c>
      <c r="D107" s="157">
        <f t="shared" si="1"/>
        <v>2716144.7397984196</v>
      </c>
      <c r="E107" s="157">
        <f t="shared" si="1"/>
        <v>2701976.1622792324</v>
      </c>
      <c r="F107" s="157">
        <f t="shared" si="1"/>
        <v>2687881.8790758126</v>
      </c>
      <c r="G107" s="157">
        <f t="shared" si="1"/>
        <v>2673861.4986005635</v>
      </c>
      <c r="H107" s="157">
        <f t="shared" si="1"/>
        <v>2659914.6313400003</v>
      </c>
      <c r="I107" s="157">
        <f t="shared" si="1"/>
        <v>2646040.8898445969</v>
      </c>
      <c r="J107" s="157">
        <f t="shared" si="1"/>
        <v>2632239.888717379</v>
      </c>
      <c r="K107" s="157">
        <f t="shared" si="1"/>
        <v>2618511.2446028832</v>
      </c>
      <c r="L107" s="157">
        <f t="shared" si="2"/>
        <v>2673150.3641656893</v>
      </c>
    </row>
    <row r="108" spans="1:12" x14ac:dyDescent="0.25">
      <c r="A108" s="147" t="s">
        <v>3876</v>
      </c>
      <c r="B108" s="148">
        <f>573-'اوراق بدون ریسک'!$AD$19</f>
        <v>357</v>
      </c>
      <c r="C108" s="149">
        <f t="shared" si="1"/>
        <v>2515825.2744309404</v>
      </c>
      <c r="D108" s="149">
        <f t="shared" si="1"/>
        <v>2491350.7259649639</v>
      </c>
      <c r="E108" s="149">
        <f t="shared" si="1"/>
        <v>2467114.9321646239</v>
      </c>
      <c r="F108" s="149">
        <f t="shared" si="1"/>
        <v>2443115.5574828465</v>
      </c>
      <c r="G108" s="149">
        <f t="shared" si="1"/>
        <v>2419350.2892827024</v>
      </c>
      <c r="H108" s="149">
        <f t="shared" si="1"/>
        <v>2395816.8376108902</v>
      </c>
      <c r="I108" s="149">
        <f t="shared" si="1"/>
        <v>2372512.9349761461</v>
      </c>
      <c r="J108" s="149">
        <f t="shared" si="1"/>
        <v>2349436.336127602</v>
      </c>
      <c r="K108" s="149">
        <f t="shared" si="1"/>
        <v>2326584.8178358609</v>
      </c>
      <c r="L108" s="152">
        <f t="shared" si="2"/>
        <v>2635856.2711727987</v>
      </c>
    </row>
    <row r="109" spans="1:12" x14ac:dyDescent="0.25">
      <c r="A109" s="156" t="s">
        <v>3877</v>
      </c>
      <c r="B109" s="93">
        <f>579-'اوراق بدون ریسک'!$AD$19</f>
        <v>363</v>
      </c>
      <c r="C109" s="157">
        <f t="shared" si="1"/>
        <v>2508394.0205051745</v>
      </c>
      <c r="D109" s="157">
        <f t="shared" si="1"/>
        <v>2483583.6780177415</v>
      </c>
      <c r="E109" s="157">
        <f t="shared" si="1"/>
        <v>2459019.402135381</v>
      </c>
      <c r="F109" s="157">
        <f t="shared" si="1"/>
        <v>2434698.7457551719</v>
      </c>
      <c r="G109" s="157">
        <f t="shared" si="1"/>
        <v>2410619.2861766927</v>
      </c>
      <c r="H109" s="157">
        <f t="shared" si="1"/>
        <v>2386778.6248568231</v>
      </c>
      <c r="I109" s="157">
        <f t="shared" si="1"/>
        <v>2363174.3871697588</v>
      </c>
      <c r="J109" s="157">
        <f t="shared" si="1"/>
        <v>2339804.2221671506</v>
      </c>
      <c r="K109" s="157">
        <f t="shared" si="1"/>
        <v>2316665.8023411958</v>
      </c>
      <c r="L109" s="157">
        <f t="shared" si="2"/>
        <v>2604854.5761763961</v>
      </c>
    </row>
    <row r="110" spans="1:12" x14ac:dyDescent="0.25">
      <c r="A110" s="150" t="s">
        <v>3878</v>
      </c>
      <c r="B110" s="151">
        <f>753-'اوراق بدون ریسک'!$AD$19</f>
        <v>537</v>
      </c>
      <c r="C110" s="152">
        <f t="shared" si="1"/>
        <v>2302178.0381667069</v>
      </c>
      <c r="D110" s="152">
        <f t="shared" si="1"/>
        <v>2268572.4847715832</v>
      </c>
      <c r="E110" s="152">
        <f t="shared" si="1"/>
        <v>2235458.3814073121</v>
      </c>
      <c r="F110" s="152">
        <f t="shared" si="1"/>
        <v>2202828.5279104877</v>
      </c>
      <c r="G110" s="152">
        <f t="shared" si="1"/>
        <v>2170675.8297995478</v>
      </c>
      <c r="H110" s="152">
        <f t="shared" si="1"/>
        <v>2138993.2967191911</v>
      </c>
      <c r="I110" s="152">
        <f t="shared" si="1"/>
        <v>2107774.0409113648</v>
      </c>
      <c r="J110" s="152">
        <f t="shared" si="1"/>
        <v>2077011.2757057489</v>
      </c>
      <c r="K110" s="152">
        <f t="shared" si="1"/>
        <v>2046698.3140331972</v>
      </c>
      <c r="L110" s="149">
        <f t="shared" si="2"/>
        <v>2303956.1786765964</v>
      </c>
    </row>
    <row r="111" spans="1:12" x14ac:dyDescent="0.25">
      <c r="A111" s="162" t="s">
        <v>3879</v>
      </c>
      <c r="B111" s="163">
        <f>757-'اوراق بدون ریسک'!$AD$19</f>
        <v>541</v>
      </c>
      <c r="C111" s="164">
        <f t="shared" si="1"/>
        <v>2297642.3487855908</v>
      </c>
      <c r="D111" s="164">
        <f t="shared" si="1"/>
        <v>2263855.0225502071</v>
      </c>
      <c r="E111" s="164">
        <f t="shared" si="1"/>
        <v>2230565.4510788708</v>
      </c>
      <c r="F111" s="164">
        <f t="shared" si="1"/>
        <v>2197766.2881207932</v>
      </c>
      <c r="G111" s="164">
        <f t="shared" si="1"/>
        <v>2165450.2960440177</v>
      </c>
      <c r="H111" s="164">
        <f t="shared" si="1"/>
        <v>2133610.3442249303</v>
      </c>
      <c r="I111" s="164">
        <f t="shared" si="1"/>
        <v>2102239.4074653294</v>
      </c>
      <c r="J111" s="164">
        <f t="shared" si="1"/>
        <v>2071330.5644299425</v>
      </c>
      <c r="K111" s="164">
        <f t="shared" si="1"/>
        <v>2040876.9961078598</v>
      </c>
      <c r="L111" s="157">
        <f t="shared" si="2"/>
        <v>2293756.8233904704</v>
      </c>
    </row>
    <row r="112" spans="1:12" x14ac:dyDescent="0.25">
      <c r="A112" s="147" t="s">
        <v>3880</v>
      </c>
      <c r="B112" s="148">
        <f>774-'اوراق بدون ریسک'!$AD$19</f>
        <v>558</v>
      </c>
      <c r="C112" s="149">
        <f t="shared" si="1"/>
        <v>2278465.1496636462</v>
      </c>
      <c r="D112" s="149">
        <f t="shared" si="1"/>
        <v>2243915.0034516877</v>
      </c>
      <c r="E112" s="149">
        <f t="shared" si="1"/>
        <v>2209889.6927131033</v>
      </c>
      <c r="F112" s="149">
        <f t="shared" si="1"/>
        <v>2176381.2308673477</v>
      </c>
      <c r="G112" s="149">
        <f t="shared" si="1"/>
        <v>2143381.7530822721</v>
      </c>
      <c r="H112" s="149">
        <f t="shared" si="1"/>
        <v>2110883.514413293</v>
      </c>
      <c r="I112" s="149">
        <f t="shared" si="1"/>
        <v>2078878.8879747777</v>
      </c>
      <c r="J112" s="149">
        <f t="shared" si="1"/>
        <v>2047360.3631362896</v>
      </c>
      <c r="K112" s="149">
        <f t="shared" si="1"/>
        <v>2016320.5437471778</v>
      </c>
      <c r="L112" s="152">
        <f t="shared" si="2"/>
        <v>2016828.5669615674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2010871.9842972804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1985752.1463888164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4266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4280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4207</v>
      </c>
      <c r="M20" t="s">
        <v>4035</v>
      </c>
      <c r="N20" t="s">
        <v>4208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4279</v>
      </c>
      <c r="B191" s="38">
        <v>-5000</v>
      </c>
      <c r="C191" s="73" t="s">
        <v>4280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opLeftCell="H33" zoomScaleNormal="100" workbookViewId="0">
      <selection activeCell="M64" sqref="M6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96" bestFit="1" customWidth="1"/>
    <col min="45" max="45" width="15.140625" style="96" bestFit="1" customWidth="1"/>
    <col min="46" max="46" width="6.28515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-L78*12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 t="s">
        <v>4168</v>
      </c>
      <c r="AP6" s="99" t="s">
        <v>267</v>
      </c>
      <c r="AQ6" s="99" t="s">
        <v>180</v>
      </c>
      <c r="AR6" s="99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1</v>
      </c>
      <c r="AP7" s="113">
        <v>4960000</v>
      </c>
      <c r="AQ7" s="99" t="s">
        <v>4169</v>
      </c>
      <c r="AR7" s="99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2</v>
      </c>
      <c r="AP8" s="113">
        <v>15000000</v>
      </c>
      <c r="AQ8" s="99" t="s">
        <v>4160</v>
      </c>
      <c r="AR8" s="99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3</v>
      </c>
      <c r="AP9" s="113">
        <v>15000000</v>
      </c>
      <c r="AQ9" s="99" t="s">
        <v>4161</v>
      </c>
      <c r="AR9" s="99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>
        <v>4</v>
      </c>
      <c r="AP10" s="172">
        <v>3000000</v>
      </c>
      <c r="AQ10" s="99" t="s">
        <v>4170</v>
      </c>
      <c r="AR10" s="99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>
        <v>5</v>
      </c>
      <c r="AP11" s="172">
        <v>2500000</v>
      </c>
      <c r="AQ11" s="99" t="s">
        <v>4162</v>
      </c>
      <c r="AR11" s="99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>
        <v>6</v>
      </c>
      <c r="AP12" s="172">
        <v>2500000</v>
      </c>
      <c r="AQ12" s="99" t="s">
        <v>4172</v>
      </c>
      <c r="AR12" s="99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>
        <v>7</v>
      </c>
      <c r="AP13" s="172">
        <v>-150000</v>
      </c>
      <c r="AQ13" s="99" t="s">
        <v>4181</v>
      </c>
      <c r="AR13" s="99" t="s">
        <v>4196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5"/>
      <c r="S14" s="116"/>
      <c r="T14" s="116"/>
      <c r="U14" s="115"/>
      <c r="V14" s="115"/>
      <c r="W14" s="116"/>
      <c r="X14" s="115"/>
      <c r="Y14" s="115"/>
      <c r="AO14" s="99">
        <v>8</v>
      </c>
      <c r="AP14" s="172">
        <v>-250000</v>
      </c>
      <c r="AQ14" s="99" t="s">
        <v>4187</v>
      </c>
      <c r="AR14" s="99" t="s">
        <v>4202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R15" s="115"/>
      <c r="S15" s="116"/>
      <c r="T15" s="116"/>
      <c r="U15" s="115"/>
      <c r="V15" s="115"/>
      <c r="W15" s="116"/>
      <c r="X15" s="115"/>
      <c r="Y15" s="115"/>
      <c r="AO15" s="99">
        <v>9</v>
      </c>
      <c r="AP15" s="172">
        <v>-696454</v>
      </c>
      <c r="AQ15" s="99" t="s">
        <v>4187</v>
      </c>
      <c r="AR15" s="99" t="s">
        <v>4197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9">
        <v>10</v>
      </c>
      <c r="AP16" s="172">
        <v>-2000000</v>
      </c>
      <c r="AQ16" s="99" t="s">
        <v>4209</v>
      </c>
      <c r="AR16" s="99" t="s">
        <v>4210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-7896950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9">
        <v>11</v>
      </c>
      <c r="AP17" s="172">
        <v>-3600000</v>
      </c>
      <c r="AQ17" s="99" t="s">
        <v>4209</v>
      </c>
      <c r="AR17" s="99" t="s">
        <v>4211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9">
        <v>12</v>
      </c>
      <c r="AP18" s="172">
        <v>-400000</v>
      </c>
      <c r="AQ18" s="99" t="s">
        <v>4216</v>
      </c>
      <c r="AR18" s="99" t="s">
        <v>4217</v>
      </c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-مهر97!D71</f>
        <v>50857326</v>
      </c>
      <c r="M19" s="171" t="s">
        <v>4206</v>
      </c>
      <c r="N19" s="113">
        <f>O19*P19</f>
        <v>10498920.799999999</v>
      </c>
      <c r="O19" s="99">
        <v>48028</v>
      </c>
      <c r="P19" s="99">
        <f>P33</f>
        <v>218.6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9">
        <v>13</v>
      </c>
      <c r="AP19" s="172">
        <v>-1000000</v>
      </c>
      <c r="AQ19" s="99" t="s">
        <v>4268</v>
      </c>
      <c r="AR19" s="99" t="s">
        <v>4269</v>
      </c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4297</v>
      </c>
      <c r="N20" s="113">
        <f>O20*P20</f>
        <v>73236.599999999991</v>
      </c>
      <c r="O20" s="99">
        <v>174</v>
      </c>
      <c r="P20" s="99">
        <f>P35</f>
        <v>420.9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198</v>
      </c>
      <c r="AK20" s="113">
        <f>AH20*AJ20</f>
        <v>3564000000</v>
      </c>
      <c r="AL20" s="99"/>
      <c r="AN20" s="96"/>
      <c r="AO20" s="99">
        <v>14</v>
      </c>
      <c r="AP20" s="172">
        <v>-10335229</v>
      </c>
      <c r="AQ20" s="99" t="s">
        <v>4326</v>
      </c>
      <c r="AR20" s="99" t="s">
        <v>4327</v>
      </c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L47</f>
        <v>292867528</v>
      </c>
      <c r="G21" s="29">
        <f t="shared" si="0"/>
        <v>-30867528</v>
      </c>
      <c r="H21" s="11" t="s">
        <v>4232</v>
      </c>
      <c r="J21" s="25"/>
      <c r="K21" s="171" t="s">
        <v>456</v>
      </c>
      <c r="L21" s="117">
        <v>235000</v>
      </c>
      <c r="M21" s="171" t="s">
        <v>4312</v>
      </c>
      <c r="N21" s="113">
        <f>O21*P21</f>
        <v>60744.5</v>
      </c>
      <c r="O21" s="99">
        <v>155</v>
      </c>
      <c r="P21" s="99">
        <f>P36</f>
        <v>391.9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197</v>
      </c>
      <c r="AK21" s="113">
        <f t="shared" ref="AK21:AK82" si="5">AH21*AJ21</f>
        <v>492500000</v>
      </c>
      <c r="AL21" s="99"/>
      <c r="AN21" s="96"/>
      <c r="AO21" s="99">
        <v>15</v>
      </c>
      <c r="AP21" s="172">
        <v>-29265866</v>
      </c>
      <c r="AQ21" s="99" t="s">
        <v>4348</v>
      </c>
      <c r="AR21" s="99" t="s">
        <v>4349</v>
      </c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757</v>
      </c>
      <c r="N22" s="113">
        <v>3000000</v>
      </c>
      <c r="O22" s="22"/>
      <c r="Q22" s="96"/>
      <c r="R22" s="172">
        <v>4400000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196</v>
      </c>
      <c r="AK22" s="113">
        <f t="shared" si="5"/>
        <v>1568000000</v>
      </c>
      <c r="AL22" s="99"/>
      <c r="AN22" s="96"/>
      <c r="AO22" s="99"/>
      <c r="AP22" s="172"/>
      <c r="AQ22" s="99"/>
      <c r="AR22" s="99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 t="s">
        <v>919</v>
      </c>
      <c r="L23" s="117">
        <v>4800000</v>
      </c>
      <c r="M23" s="171" t="s">
        <v>4159</v>
      </c>
      <c r="N23" s="113">
        <f>-1*L19</f>
        <v>-50857326</v>
      </c>
      <c r="R23" s="115"/>
      <c r="S23" s="115" t="s">
        <v>25</v>
      </c>
      <c r="T23" s="115"/>
      <c r="U23" s="115"/>
      <c r="V23" s="115"/>
      <c r="W23" s="115"/>
      <c r="X23" s="115"/>
      <c r="Y23" s="115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195</v>
      </c>
      <c r="AK23" s="113">
        <f t="shared" si="5"/>
        <v>-15512640</v>
      </c>
      <c r="AL23" s="99"/>
      <c r="AN23" s="96"/>
      <c r="AO23" s="99"/>
      <c r="AP23" s="99"/>
      <c r="AQ23" s="99" t="s">
        <v>25</v>
      </c>
      <c r="AR23" s="99"/>
      <c r="AT23" s="96"/>
      <c r="AU23" s="96"/>
      <c r="AV23" s="96"/>
      <c r="AW23" s="96"/>
      <c r="AX23" s="96"/>
      <c r="AY23" s="96"/>
      <c r="AZ23" s="96"/>
    </row>
    <row r="24" spans="1:52" ht="21" x14ac:dyDescent="0.3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 t="s">
        <v>930</v>
      </c>
      <c r="L24" s="117">
        <v>0</v>
      </c>
      <c r="M24" s="171" t="s">
        <v>754</v>
      </c>
      <c r="N24" s="113">
        <v>500000</v>
      </c>
      <c r="P24" t="s">
        <v>25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194</v>
      </c>
      <c r="AK24" s="113">
        <f t="shared" si="5"/>
        <v>32107000</v>
      </c>
      <c r="AL24" s="99"/>
      <c r="AN24" s="96"/>
      <c r="AO24" s="99"/>
      <c r="AP24" s="95">
        <f>SUM(AP7:AP23)</f>
        <v>-4737549</v>
      </c>
      <c r="AQ24" s="99"/>
      <c r="AR24" s="183" t="s">
        <v>4350</v>
      </c>
      <c r="AT24" s="96"/>
      <c r="AU24" s="96"/>
      <c r="AV24" s="96"/>
      <c r="AW24" s="96"/>
      <c r="AX24" s="96"/>
      <c r="AY24" s="96"/>
      <c r="AZ24" s="96"/>
    </row>
    <row r="25" spans="1:52" ht="30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 t="s">
        <v>1088</v>
      </c>
      <c r="L25" s="117">
        <f>65*R22</f>
        <v>286000000</v>
      </c>
      <c r="M25" s="171" t="s">
        <v>761</v>
      </c>
      <c r="N25" s="113">
        <v>1200000</v>
      </c>
      <c r="O25" t="s">
        <v>25</v>
      </c>
      <c r="R25" s="115"/>
      <c r="S25" s="115"/>
      <c r="T25" s="115"/>
      <c r="U25" s="115"/>
      <c r="W25" s="115"/>
      <c r="X25" s="115"/>
      <c r="Y25" s="115"/>
      <c r="Z25" s="115"/>
      <c r="AA25" s="115"/>
      <c r="AB25" s="115"/>
      <c r="AC25" s="115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182</v>
      </c>
      <c r="AK25" s="113">
        <f t="shared" si="5"/>
        <v>-5247119514</v>
      </c>
      <c r="AL25" s="99"/>
      <c r="AN25" s="96"/>
      <c r="AO25" s="99"/>
      <c r="AP25" s="99" t="s">
        <v>6</v>
      </c>
      <c r="AQ25" s="99"/>
      <c r="AR25" s="199" t="s">
        <v>4351</v>
      </c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4157</v>
      </c>
      <c r="L26" s="117">
        <v>-50000000</v>
      </c>
      <c r="M26" s="73"/>
      <c r="N26" s="113"/>
      <c r="O26" s="22"/>
      <c r="S26" s="26" t="s">
        <v>25</v>
      </c>
      <c r="W26" s="115"/>
      <c r="X26" s="115"/>
      <c r="Y26" s="115"/>
      <c r="Z26" s="115"/>
      <c r="AA26" s="115"/>
      <c r="AB26" s="115"/>
      <c r="AC26" s="115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176</v>
      </c>
      <c r="AK26" s="113">
        <f t="shared" si="5"/>
        <v>3256000000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/>
      <c r="L27" s="117"/>
      <c r="M27" s="171" t="s">
        <v>1088</v>
      </c>
      <c r="N27" s="113">
        <f>75*R22</f>
        <v>330000000</v>
      </c>
      <c r="P27" t="s">
        <v>25</v>
      </c>
      <c r="W27" s="115"/>
      <c r="X27" s="115"/>
      <c r="Y27" s="115"/>
      <c r="Z27" s="115"/>
      <c r="AA27" s="115"/>
      <c r="AB27" s="115"/>
      <c r="AC27" s="115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175</v>
      </c>
      <c r="AK27" s="113">
        <f t="shared" si="5"/>
        <v>-3246250000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4304</v>
      </c>
      <c r="L28" s="117">
        <v>65000</v>
      </c>
      <c r="M28" s="171" t="s">
        <v>4213</v>
      </c>
      <c r="N28" s="113">
        <v>-20000000</v>
      </c>
      <c r="V28" s="26"/>
      <c r="W28" s="115"/>
      <c r="X28" s="115"/>
      <c r="Y28" s="115"/>
      <c r="Z28" s="115"/>
      <c r="AA28" s="115"/>
      <c r="AB28" s="115"/>
      <c r="AC28" s="115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174</v>
      </c>
      <c r="AK28" s="113">
        <f t="shared" si="5"/>
        <v>-11303214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4347</v>
      </c>
      <c r="L29" s="117">
        <v>-113000</v>
      </c>
      <c r="M29" s="171" t="s">
        <v>4214</v>
      </c>
      <c r="N29" s="113">
        <v>-50000000</v>
      </c>
      <c r="O29" s="96"/>
      <c r="P29" s="96"/>
      <c r="V29" s="26"/>
      <c r="W29" s="115"/>
      <c r="X29" s="115"/>
      <c r="Y29" s="115"/>
      <c r="Z29" s="115"/>
      <c r="AA29" s="115"/>
      <c r="AB29" s="115"/>
      <c r="AC29" s="115"/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169</v>
      </c>
      <c r="AK29" s="113">
        <f t="shared" si="5"/>
        <v>1081600000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99"/>
      <c r="L30" s="99"/>
      <c r="M30" s="171" t="s">
        <v>3893</v>
      </c>
      <c r="N30" s="113">
        <v>41759077</v>
      </c>
      <c r="O30" s="99" t="s">
        <v>939</v>
      </c>
      <c r="P30" s="99" t="s">
        <v>3934</v>
      </c>
      <c r="Q30" s="73"/>
      <c r="R30" s="112"/>
      <c r="S30" s="112"/>
      <c r="T30" s="112"/>
      <c r="V30" s="26"/>
      <c r="W30" s="122"/>
      <c r="X30" s="115"/>
      <c r="Y30" s="115"/>
      <c r="Z30" s="115"/>
      <c r="AA30" s="115"/>
      <c r="AB30" s="115"/>
      <c r="AC30" s="115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168</v>
      </c>
      <c r="AK30" s="113">
        <f t="shared" si="5"/>
        <v>-28560000</v>
      </c>
      <c r="AL30" s="99"/>
      <c r="AN30" s="96"/>
      <c r="AT30" s="96"/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99"/>
      <c r="L31" s="99"/>
      <c r="M31" s="171"/>
      <c r="N31" s="113"/>
      <c r="O31" s="99"/>
      <c r="P31" s="99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15"/>
      <c r="X31" s="115"/>
      <c r="Y31" s="115"/>
      <c r="Z31" s="115"/>
      <c r="AA31" s="115"/>
      <c r="AB31" s="115"/>
      <c r="AC31" s="115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163</v>
      </c>
      <c r="AK31" s="113">
        <f t="shared" si="5"/>
        <v>-1026900000</v>
      </c>
      <c r="AL31" s="99"/>
      <c r="AN31" s="96"/>
      <c r="AT31" s="96"/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17"/>
      <c r="M32" s="32"/>
      <c r="N32" s="113"/>
      <c r="O32" s="99"/>
      <c r="P32" s="99"/>
      <c r="Q32" s="172">
        <v>188746884</v>
      </c>
      <c r="R32" s="171" t="s">
        <v>4187</v>
      </c>
      <c r="S32" s="171">
        <v>30</v>
      </c>
      <c r="T32" s="171" t="s">
        <v>4354</v>
      </c>
      <c r="V32" s="26"/>
      <c r="W32" s="115"/>
      <c r="X32" s="115"/>
      <c r="Y32" s="115"/>
      <c r="Z32" s="115"/>
      <c r="AA32" s="115"/>
      <c r="AB32" s="115"/>
      <c r="AC32" s="115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162</v>
      </c>
      <c r="AK32" s="113">
        <f t="shared" si="5"/>
        <v>-8426430</v>
      </c>
      <c r="AL32" s="99"/>
      <c r="AN32" s="96"/>
      <c r="AT32" s="96"/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17"/>
      <c r="M33" s="171" t="s">
        <v>4194</v>
      </c>
      <c r="N33" s="113">
        <f>O33*P33</f>
        <v>214478515.59999999</v>
      </c>
      <c r="O33" s="99">
        <v>981146</v>
      </c>
      <c r="P33" s="99">
        <v>218.6</v>
      </c>
      <c r="Q33" s="172">
        <v>3759803</v>
      </c>
      <c r="R33" s="171" t="s">
        <v>4290</v>
      </c>
      <c r="S33" s="171">
        <f>S32-21</f>
        <v>9</v>
      </c>
      <c r="T33" s="171" t="s">
        <v>4301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146</v>
      </c>
      <c r="AK33" s="113">
        <f t="shared" si="5"/>
        <v>2922540400</v>
      </c>
      <c r="AL33" s="99"/>
      <c r="AN33" s="96"/>
      <c r="AT33" s="96"/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99" t="s">
        <v>4289</v>
      </c>
      <c r="N34" s="113">
        <f>O34*P34</f>
        <v>4298987.5999999996</v>
      </c>
      <c r="O34" s="99">
        <v>19666</v>
      </c>
      <c r="P34" s="99">
        <f>P33</f>
        <v>218.6</v>
      </c>
      <c r="Q34" s="172">
        <v>57680</v>
      </c>
      <c r="R34" s="171" t="s">
        <v>4294</v>
      </c>
      <c r="S34" s="171">
        <f>S33-2</f>
        <v>7</v>
      </c>
      <c r="T34" s="171" t="s">
        <v>4300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146</v>
      </c>
      <c r="AK34" s="113">
        <f t="shared" si="5"/>
        <v>148112036</v>
      </c>
      <c r="AL34" s="99"/>
      <c r="AN34" s="96"/>
      <c r="AT34" s="9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358188786.24271059</v>
      </c>
      <c r="F35" s="3"/>
      <c r="G35" s="11"/>
      <c r="H35" s="11"/>
      <c r="K35" s="56"/>
      <c r="L35" s="117"/>
      <c r="M35" s="99" t="s">
        <v>4297</v>
      </c>
      <c r="N35" s="113">
        <f>O35*P35</f>
        <v>73236.599999999991</v>
      </c>
      <c r="O35" s="99">
        <v>174</v>
      </c>
      <c r="P35" s="99">
        <v>420.9</v>
      </c>
      <c r="Q35" s="172">
        <v>54501</v>
      </c>
      <c r="R35" s="171" t="s">
        <v>4311</v>
      </c>
      <c r="S35" s="171">
        <f>S34-2</f>
        <v>5</v>
      </c>
      <c r="T35" s="171" t="s">
        <v>4310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134</v>
      </c>
      <c r="AK35" s="113">
        <f t="shared" si="5"/>
        <v>48240000</v>
      </c>
      <c r="AL35" s="99"/>
      <c r="AN35" s="96"/>
      <c r="AT35" s="9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366196750.44670284</v>
      </c>
      <c r="F36" s="3"/>
      <c r="G36" s="11"/>
      <c r="H36" s="11"/>
      <c r="K36" s="56"/>
      <c r="L36" s="117"/>
      <c r="M36" s="99" t="s">
        <v>4312</v>
      </c>
      <c r="N36" s="113">
        <f>O36*P36</f>
        <v>60744.5</v>
      </c>
      <c r="O36" s="188">
        <v>155</v>
      </c>
      <c r="P36" s="99">
        <v>391.9</v>
      </c>
      <c r="Q36" s="172">
        <v>1730284</v>
      </c>
      <c r="R36" s="171" t="s">
        <v>4326</v>
      </c>
      <c r="S36" s="171">
        <f>S35-3</f>
        <v>2</v>
      </c>
      <c r="T36" s="171" t="s">
        <v>4328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132</v>
      </c>
      <c r="AK36" s="113">
        <f t="shared" si="5"/>
        <v>-46200000</v>
      </c>
      <c r="AL36" s="99"/>
      <c r="AN36" s="96"/>
      <c r="AT36" s="9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374373315.81956631</v>
      </c>
      <c r="F37" s="3"/>
      <c r="G37" s="11"/>
      <c r="H37" s="11"/>
      <c r="K37" s="56"/>
      <c r="L37" s="117"/>
      <c r="M37" s="99" t="s">
        <v>4329</v>
      </c>
      <c r="N37" s="113">
        <f>O37*P37</f>
        <v>4132300</v>
      </c>
      <c r="O37" s="69">
        <v>62</v>
      </c>
      <c r="P37" s="69">
        <v>66650</v>
      </c>
      <c r="Q37" s="172">
        <v>2395735</v>
      </c>
      <c r="R37" s="171" t="s">
        <v>4338</v>
      </c>
      <c r="S37" s="171">
        <f>S36-1</f>
        <v>1</v>
      </c>
      <c r="T37" s="171" t="s">
        <v>4352</v>
      </c>
      <c r="U37" s="96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132</v>
      </c>
      <c r="AK37" s="113">
        <f t="shared" si="5"/>
        <v>132000</v>
      </c>
      <c r="AL37" s="99"/>
      <c r="AN37" s="96"/>
      <c r="AT37" s="96"/>
      <c r="AU37" s="96"/>
      <c r="AV37" s="96"/>
      <c r="AW37" s="96"/>
      <c r="AX37" s="96"/>
      <c r="AY37" s="96"/>
      <c r="AZ37" s="96"/>
    </row>
    <row r="38" spans="1:5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382721938.80352634</v>
      </c>
      <c r="F38" s="3"/>
      <c r="G38" s="11"/>
      <c r="H38" s="11"/>
      <c r="K38" s="56"/>
      <c r="L38" s="117"/>
      <c r="M38" s="99" t="s">
        <v>966</v>
      </c>
      <c r="N38" s="113">
        <f>O38*P38</f>
        <v>16020000</v>
      </c>
      <c r="O38" s="69">
        <v>200</v>
      </c>
      <c r="P38" s="69">
        <v>80100</v>
      </c>
      <c r="Q38" s="172">
        <v>17224360</v>
      </c>
      <c r="R38" s="171" t="s">
        <v>4348</v>
      </c>
      <c r="S38" s="171">
        <f>S37-1</f>
        <v>0</v>
      </c>
      <c r="T38" s="171" t="s">
        <v>4353</v>
      </c>
      <c r="U38" s="96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131</v>
      </c>
      <c r="AK38" s="113">
        <f t="shared" si="5"/>
        <v>4402910000</v>
      </c>
      <c r="AL38" s="99"/>
      <c r="AN38" s="96"/>
      <c r="AT38" s="96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391246145.81384128</v>
      </c>
      <c r="F39" s="3"/>
      <c r="G39" s="11"/>
      <c r="H39" s="11"/>
      <c r="K39" s="99"/>
      <c r="L39" s="99"/>
      <c r="M39" s="99"/>
      <c r="N39" s="99"/>
      <c r="Q39" s="172"/>
      <c r="R39" s="171"/>
      <c r="S39" s="171"/>
      <c r="T39" s="171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127</v>
      </c>
      <c r="AK39" s="113">
        <f t="shared" si="5"/>
        <v>-1981200000</v>
      </c>
      <c r="AL39" s="99"/>
      <c r="AN39" s="96"/>
      <c r="AT39" s="96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399949534.64670491</v>
      </c>
      <c r="F40" s="3"/>
      <c r="G40" s="11"/>
      <c r="H40" s="11"/>
      <c r="K40" s="99"/>
      <c r="L40" s="99"/>
      <c r="M40" s="73" t="s">
        <v>4275</v>
      </c>
      <c r="N40" s="117">
        <v>-40516095</v>
      </c>
      <c r="O40" s="96"/>
      <c r="P40" s="96"/>
      <c r="Q40" s="113">
        <f>SUM(N31:N38)-SUM(Q32:Q38)</f>
        <v>25094537.299999982</v>
      </c>
      <c r="R40" s="112"/>
      <c r="S40" s="112"/>
      <c r="T40" s="112"/>
      <c r="U40" s="96"/>
      <c r="V40"/>
      <c r="W40" s="115"/>
      <c r="X40" s="115"/>
      <c r="Y40" s="115"/>
      <c r="Z40" s="115"/>
      <c r="AA40" s="115"/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124</v>
      </c>
      <c r="AK40" s="113">
        <f t="shared" si="5"/>
        <v>930000000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408835775.91539168</v>
      </c>
      <c r="F41" s="3"/>
      <c r="G41" s="11"/>
      <c r="H41" s="11"/>
      <c r="K41" s="99"/>
      <c r="L41" s="99"/>
      <c r="M41" s="73"/>
      <c r="N41" s="117"/>
      <c r="O41" s="96" t="s">
        <v>25</v>
      </c>
      <c r="Q41" s="26"/>
      <c r="R41" s="189"/>
      <c r="S41" s="189"/>
      <c r="T41" t="s">
        <v>25</v>
      </c>
      <c r="U41" s="96"/>
      <c r="V41"/>
      <c r="W41" s="115"/>
      <c r="X41" s="115"/>
      <c r="Y41" s="115"/>
      <c r="Z41" s="115"/>
      <c r="AA41" s="115" t="s">
        <v>25</v>
      </c>
      <c r="AB41" s="115"/>
      <c r="AC41" s="115"/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120</v>
      </c>
      <c r="AK41" s="113">
        <f t="shared" si="5"/>
        <v>-11760000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417908614.51520973</v>
      </c>
      <c r="F42" s="3"/>
      <c r="G42" s="11"/>
      <c r="H42" s="11"/>
      <c r="K42" s="99"/>
      <c r="L42" s="99"/>
      <c r="M42" s="171" t="s">
        <v>1156</v>
      </c>
      <c r="N42" s="117">
        <v>14908</v>
      </c>
      <c r="O42" s="96" t="s">
        <v>25</v>
      </c>
      <c r="P42" t="s">
        <v>25</v>
      </c>
      <c r="R42" t="s">
        <v>25</v>
      </c>
      <c r="T42" t="s">
        <v>25</v>
      </c>
      <c r="AB42" t="s">
        <v>25</v>
      </c>
      <c r="AC42" t="s">
        <v>25</v>
      </c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119</v>
      </c>
      <c r="AK42" s="113">
        <f t="shared" si="5"/>
        <v>-3094000000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427171871.11783922</v>
      </c>
      <c r="F43" s="3"/>
      <c r="G43" s="11"/>
      <c r="H43" s="11"/>
      <c r="K43" s="99"/>
      <c r="L43" s="99"/>
      <c r="M43" s="171" t="s">
        <v>1157</v>
      </c>
      <c r="N43" s="117">
        <v>5282</v>
      </c>
      <c r="O43" s="96"/>
      <c r="Q43" t="s">
        <v>25</v>
      </c>
      <c r="R43" t="s">
        <v>25</v>
      </c>
      <c r="T43" t="s">
        <v>951</v>
      </c>
      <c r="U43">
        <v>6.3E-3</v>
      </c>
      <c r="V43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119</v>
      </c>
      <c r="AK43" s="113">
        <f t="shared" si="5"/>
        <v>2975000000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436629443.69564456</v>
      </c>
      <c r="F44" s="3"/>
      <c r="G44" s="11"/>
      <c r="H44" s="11"/>
      <c r="K44" s="171"/>
      <c r="L44" s="117"/>
      <c r="M44" s="171"/>
      <c r="N44" s="113"/>
      <c r="O44" s="115"/>
      <c r="P44" s="115"/>
      <c r="Q44" t="s">
        <v>25</v>
      </c>
      <c r="S44" t="s">
        <v>25</v>
      </c>
      <c r="T44" t="s">
        <v>61</v>
      </c>
      <c r="U44">
        <v>4.8999999999999998E-3</v>
      </c>
      <c r="V44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118</v>
      </c>
      <c r="AK44" s="113">
        <f t="shared" si="5"/>
        <v>12980000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446285309.07656044</v>
      </c>
      <c r="F45" s="3"/>
      <c r="G45" s="11"/>
      <c r="H45" s="11"/>
      <c r="K45" s="171" t="s">
        <v>25</v>
      </c>
      <c r="L45" s="117"/>
      <c r="M45" s="171" t="s">
        <v>4195</v>
      </c>
      <c r="N45" s="113">
        <f>-O45*P45</f>
        <v>-20198202.800000001</v>
      </c>
      <c r="O45" s="99">
        <v>92398</v>
      </c>
      <c r="P45" s="99">
        <f>P33</f>
        <v>218.6</v>
      </c>
      <c r="Q45" s="96">
        <f>O33+O34+O19-O45</f>
        <v>956442</v>
      </c>
      <c r="R45" s="113">
        <f>Q45*P33+N19</f>
        <v>219577142</v>
      </c>
      <c r="S45" t="s">
        <v>25</v>
      </c>
      <c r="T45" t="s">
        <v>6</v>
      </c>
      <c r="U45">
        <f>U43+U44</f>
        <v>1.12E-2</v>
      </c>
      <c r="V45"/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117</v>
      </c>
      <c r="AK45" s="113">
        <f t="shared" si="5"/>
        <v>44460000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456143524.53016472</v>
      </c>
      <c r="F46" s="3"/>
      <c r="G46" s="11"/>
      <c r="H46" s="11"/>
      <c r="K46" s="171"/>
      <c r="L46" s="117"/>
      <c r="M46" s="171"/>
      <c r="N46" s="113"/>
      <c r="O46" s="96"/>
      <c r="P46" s="96"/>
      <c r="Q46" t="s">
        <v>4308</v>
      </c>
      <c r="R46" t="s">
        <v>4305</v>
      </c>
      <c r="T46" t="s">
        <v>25</v>
      </c>
      <c r="V46"/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110</v>
      </c>
      <c r="AK46" s="113">
        <f t="shared" si="5"/>
        <v>49500000</v>
      </c>
      <c r="AL46" s="99"/>
      <c r="AO46" s="99" t="s">
        <v>1079</v>
      </c>
      <c r="AP46" s="99" t="s">
        <v>267</v>
      </c>
      <c r="AQ46" s="99" t="s">
        <v>180</v>
      </c>
      <c r="AR46" s="99"/>
    </row>
    <row r="47" spans="1:5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466208229.38556182</v>
      </c>
      <c r="F47" s="3"/>
      <c r="G47" s="11"/>
      <c r="H47" s="11"/>
      <c r="K47" s="171" t="s">
        <v>598</v>
      </c>
      <c r="L47" s="113">
        <f>SUM(L16:L39)</f>
        <v>292867528</v>
      </c>
      <c r="M47" s="171"/>
      <c r="N47" s="113">
        <f>SUM(N16:N46)</f>
        <v>436756379.40000004</v>
      </c>
      <c r="O47" t="s">
        <v>25</v>
      </c>
      <c r="R47" t="s">
        <v>25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104</v>
      </c>
      <c r="AK47" s="113">
        <f t="shared" si="5"/>
        <v>291200000</v>
      </c>
      <c r="AL47" s="99"/>
      <c r="AO47" s="99">
        <v>1</v>
      </c>
      <c r="AP47" s="172">
        <v>5000000</v>
      </c>
      <c r="AQ47" s="99" t="s">
        <v>4161</v>
      </c>
      <c r="AR47" s="99" t="s">
        <v>4198</v>
      </c>
    </row>
    <row r="48" spans="1:5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476483646.68171477</v>
      </c>
      <c r="F48" s="3"/>
      <c r="G48" s="11"/>
      <c r="H48" s="11" t="s">
        <v>611</v>
      </c>
      <c r="K48" s="171" t="s">
        <v>599</v>
      </c>
      <c r="L48" s="113">
        <f>L16+L17+L21</f>
        <v>258202</v>
      </c>
      <c r="M48" s="171"/>
      <c r="N48" s="113">
        <f>N16+N17+N24</f>
        <v>-7383645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103</v>
      </c>
      <c r="AK48" s="113">
        <f t="shared" si="5"/>
        <v>-154500000</v>
      </c>
      <c r="AL48" s="99"/>
      <c r="AO48" s="99">
        <v>2</v>
      </c>
      <c r="AP48" s="172">
        <v>13000000</v>
      </c>
      <c r="AQ48" s="99" t="s">
        <v>4172</v>
      </c>
      <c r="AR48" s="99" t="s">
        <v>4199</v>
      </c>
    </row>
    <row r="49" spans="1:51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486974084.8508752</v>
      </c>
      <c r="F49" s="3"/>
      <c r="G49" s="11"/>
      <c r="H49" s="11"/>
      <c r="K49" s="56" t="s">
        <v>716</v>
      </c>
      <c r="L49" s="1">
        <f>L47+N7</f>
        <v>362867528</v>
      </c>
      <c r="M49" s="113"/>
      <c r="N49" s="171"/>
      <c r="O49" s="22"/>
      <c r="P49" t="s">
        <v>25</v>
      </c>
      <c r="T49" t="s">
        <v>25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103</v>
      </c>
      <c r="AK49" s="113">
        <f t="shared" si="5"/>
        <v>314150000</v>
      </c>
      <c r="AL49" s="99"/>
      <c r="AO49" s="99">
        <v>3</v>
      </c>
      <c r="AP49" s="172">
        <v>-168093</v>
      </c>
      <c r="AQ49" s="99" t="s">
        <v>4187</v>
      </c>
      <c r="AR49" s="99" t="s">
        <v>4200</v>
      </c>
    </row>
    <row r="50" spans="1:51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497683939.43577409</v>
      </c>
      <c r="F50" s="51"/>
      <c r="G50" s="11"/>
      <c r="H50" s="11"/>
      <c r="M50" t="s">
        <v>4340</v>
      </c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100</v>
      </c>
      <c r="AK50" s="113">
        <f t="shared" si="5"/>
        <v>-829961200</v>
      </c>
      <c r="AL50" s="99"/>
      <c r="AO50" s="99"/>
      <c r="AP50" s="172"/>
      <c r="AQ50" s="99"/>
      <c r="AR50" s="99"/>
    </row>
    <row r="51" spans="1:51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508617694.84124976</v>
      </c>
      <c r="F51" s="3"/>
      <c r="G51" s="11"/>
      <c r="H51" s="11"/>
      <c r="M51" s="25" t="s">
        <v>4118</v>
      </c>
      <c r="O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98</v>
      </c>
      <c r="AK51" s="113">
        <f t="shared" si="5"/>
        <v>490000000</v>
      </c>
      <c r="AL51" s="99"/>
      <c r="AO51" s="99"/>
      <c r="AP51" s="172"/>
      <c r="AQ51" s="99"/>
      <c r="AR51" s="99"/>
    </row>
    <row r="52" spans="1:51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519779926.12100261</v>
      </c>
      <c r="F52" s="3"/>
      <c r="G52" s="11"/>
      <c r="H52" s="11"/>
      <c r="M52" s="25" t="s">
        <v>4086</v>
      </c>
      <c r="P52" t="s">
        <v>25</v>
      </c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84</v>
      </c>
      <c r="AK52" s="113">
        <f t="shared" si="5"/>
        <v>-7560000</v>
      </c>
      <c r="AL52" s="99"/>
      <c r="AO52" s="99"/>
      <c r="AP52" s="172"/>
      <c r="AQ52" s="99"/>
      <c r="AR52" s="99"/>
    </row>
    <row r="53" spans="1:51" ht="30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531175300.80017978</v>
      </c>
      <c r="F53" s="3"/>
      <c r="G53" s="11"/>
      <c r="H53" s="11"/>
      <c r="M53" s="180" t="s">
        <v>4122</v>
      </c>
      <c r="AB53" t="s">
        <v>25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83</v>
      </c>
      <c r="AK53" s="113">
        <f t="shared" si="5"/>
        <v>464800000</v>
      </c>
      <c r="AL53" s="99"/>
      <c r="AO53" s="99"/>
      <c r="AP53" s="172"/>
      <c r="AQ53" s="99"/>
      <c r="AR53" s="99"/>
    </row>
    <row r="54" spans="1:51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542808580.73450804</v>
      </c>
      <c r="F54" s="3"/>
      <c r="G54" s="11"/>
      <c r="H54" s="11"/>
      <c r="K54" s="3"/>
      <c r="L54" s="11" t="s">
        <v>304</v>
      </c>
      <c r="M54" s="122"/>
      <c r="N54" s="96"/>
      <c r="P54" s="115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79</v>
      </c>
      <c r="AK54" s="113">
        <f t="shared" si="5"/>
        <v>59250000</v>
      </c>
      <c r="AL54" s="99"/>
      <c r="AO54" s="99"/>
      <c r="AP54" s="172"/>
      <c r="AQ54" s="99"/>
      <c r="AR54" s="99"/>
    </row>
    <row r="55" spans="1:51" ht="18.75" x14ac:dyDescent="0.3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554684624.00670612</v>
      </c>
      <c r="F55" s="3"/>
      <c r="G55" s="11"/>
      <c r="H55" s="11"/>
      <c r="K55" s="1" t="s">
        <v>305</v>
      </c>
      <c r="L55" s="1">
        <v>70000</v>
      </c>
      <c r="M55" s="122" t="s">
        <v>4341</v>
      </c>
      <c r="N55" s="96" t="s">
        <v>25</v>
      </c>
      <c r="P55" s="115"/>
      <c r="Q55" s="115"/>
      <c r="R55" s="115"/>
      <c r="S55" s="115"/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77</v>
      </c>
      <c r="AK55" s="173">
        <f t="shared" si="5"/>
        <v>-326634000</v>
      </c>
      <c r="AL55" s="174" t="s">
        <v>4068</v>
      </c>
      <c r="AO55" s="99"/>
      <c r="AP55" s="172">
        <f>SUM(AP47:AP53)</f>
        <v>17831907</v>
      </c>
      <c r="AQ55" s="99"/>
      <c r="AR55" s="182" t="s">
        <v>4204</v>
      </c>
    </row>
    <row r="56" spans="1:51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566808386.86092329</v>
      </c>
      <c r="F56" s="3"/>
      <c r="G56" s="11"/>
      <c r="H56" s="11"/>
      <c r="K56" s="1" t="s">
        <v>321</v>
      </c>
      <c r="L56" s="1">
        <v>100000</v>
      </c>
      <c r="M56" s="122" t="s">
        <v>4342</v>
      </c>
      <c r="P56" s="115"/>
      <c r="Q56" s="189"/>
      <c r="R56" s="189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75</v>
      </c>
      <c r="AK56" s="113">
        <f t="shared" si="5"/>
        <v>307500000</v>
      </c>
      <c r="AL56" s="99"/>
      <c r="AO56" s="99"/>
      <c r="AP56" s="99" t="s">
        <v>6</v>
      </c>
      <c r="AQ56" s="99"/>
      <c r="AR56" s="99"/>
    </row>
    <row r="57" spans="1:51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579184925.67596567</v>
      </c>
      <c r="F57" s="3"/>
      <c r="G57" s="11"/>
      <c r="H57" s="11"/>
      <c r="K57" s="1" t="s">
        <v>306</v>
      </c>
      <c r="L57" s="1">
        <v>80000</v>
      </c>
      <c r="M57" s="122" t="s">
        <v>4343</v>
      </c>
      <c r="P57" s="115"/>
      <c r="Q57" s="189"/>
      <c r="R57" s="189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75</v>
      </c>
      <c r="AK57" s="113">
        <f t="shared" si="5"/>
        <v>307500000</v>
      </c>
      <c r="AL57" s="99"/>
    </row>
    <row r="58" spans="1:51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591819398.97808707</v>
      </c>
      <c r="F58" s="3"/>
      <c r="G58" s="11"/>
      <c r="H58" s="11"/>
      <c r="K58" s="31" t="s">
        <v>307</v>
      </c>
      <c r="L58" s="1">
        <v>150000</v>
      </c>
      <c r="M58" s="122" t="s">
        <v>4344</v>
      </c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74</v>
      </c>
      <c r="AK58" s="113">
        <f t="shared" si="5"/>
        <v>58460000</v>
      </c>
      <c r="AL58" s="99"/>
    </row>
    <row r="59" spans="1:51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604717069.49413705</v>
      </c>
      <c r="F59" s="3"/>
      <c r="G59" s="11"/>
      <c r="H59" s="11"/>
      <c r="K59" s="31" t="s">
        <v>308</v>
      </c>
      <c r="L59" s="1">
        <v>300000</v>
      </c>
      <c r="M59" s="194" t="s">
        <v>4345</v>
      </c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59</v>
      </c>
      <c r="AK59" s="175">
        <f t="shared" si="5"/>
        <v>-228035000</v>
      </c>
      <c r="AL59" s="174" t="s">
        <v>4069</v>
      </c>
    </row>
    <row r="60" spans="1:51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617883306.24587286</v>
      </c>
      <c r="F60" s="3"/>
      <c r="G60" s="11"/>
      <c r="H60" s="11"/>
      <c r="K60" s="31" t="s">
        <v>309</v>
      </c>
      <c r="L60" s="1">
        <v>100000</v>
      </c>
      <c r="M60" s="200" t="s">
        <v>4355</v>
      </c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53</v>
      </c>
      <c r="AK60" s="113">
        <f t="shared" si="5"/>
        <v>996400000</v>
      </c>
      <c r="AL60" s="20"/>
    </row>
    <row r="61" spans="1:51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631323586.68626177</v>
      </c>
      <c r="F61" s="3"/>
      <c r="G61" s="11"/>
      <c r="H61" s="11"/>
      <c r="K61" s="31" t="s">
        <v>310</v>
      </c>
      <c r="L61" s="1">
        <v>200000</v>
      </c>
      <c r="M61" s="96"/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50</v>
      </c>
      <c r="AK61" s="113">
        <f t="shared" si="5"/>
        <v>25000000</v>
      </c>
      <c r="AL61" s="20"/>
    </row>
    <row r="62" spans="1:51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645043498.87861323</v>
      </c>
      <c r="F62" s="3"/>
      <c r="G62" s="11"/>
      <c r="H62" s="11"/>
      <c r="K62" s="18" t="s">
        <v>311</v>
      </c>
      <c r="L62" s="18">
        <v>300000</v>
      </c>
      <c r="M62" s="96"/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49</v>
      </c>
      <c r="AK62" s="113">
        <f t="shared" si="5"/>
        <v>9800000</v>
      </c>
      <c r="AL62" s="20"/>
      <c r="AT62" s="99" t="s">
        <v>1136</v>
      </c>
      <c r="AU62" s="99" t="s">
        <v>4270</v>
      </c>
      <c r="AV62" s="99" t="s">
        <v>939</v>
      </c>
      <c r="AW62" s="99" t="s">
        <v>180</v>
      </c>
      <c r="AX62" s="69" t="s">
        <v>8</v>
      </c>
      <c r="AY62" s="69" t="s">
        <v>267</v>
      </c>
    </row>
    <row r="63" spans="1:51" x14ac:dyDescent="0.25">
      <c r="E63" s="26"/>
      <c r="K63" s="32" t="s">
        <v>312</v>
      </c>
      <c r="L63" s="1">
        <v>200000</v>
      </c>
      <c r="M63" s="96"/>
      <c r="N63" s="96"/>
      <c r="O63" s="96"/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46</v>
      </c>
      <c r="AK63" s="113">
        <f t="shared" si="5"/>
        <v>46000000</v>
      </c>
      <c r="AL63" s="20"/>
      <c r="AT63" s="99">
        <v>1</v>
      </c>
      <c r="AU63" s="172" t="s">
        <v>4271</v>
      </c>
      <c r="AV63" s="99">
        <v>18290</v>
      </c>
      <c r="AW63" s="99" t="s">
        <v>4187</v>
      </c>
      <c r="AX63" s="99" t="s">
        <v>4272</v>
      </c>
      <c r="AY63" s="172">
        <v>3465500</v>
      </c>
    </row>
    <row r="64" spans="1:51" x14ac:dyDescent="0.25">
      <c r="E64" s="26"/>
      <c r="K64" s="32" t="s">
        <v>313</v>
      </c>
      <c r="L64" s="1">
        <v>20000</v>
      </c>
      <c r="M64" s="96"/>
      <c r="N64" s="96"/>
      <c r="O64" s="96"/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43</v>
      </c>
      <c r="AK64" s="113">
        <f t="shared" si="5"/>
        <v>55900000</v>
      </c>
      <c r="AL64" s="20"/>
      <c r="AT64" s="99">
        <v>2</v>
      </c>
      <c r="AU64" s="172" t="s">
        <v>4271</v>
      </c>
      <c r="AV64" s="99">
        <v>24813</v>
      </c>
      <c r="AW64" s="99" t="s">
        <v>4266</v>
      </c>
      <c r="AX64" s="99" t="s">
        <v>4273</v>
      </c>
      <c r="AY64" s="172">
        <v>4995629</v>
      </c>
    </row>
    <row r="65" spans="1:51" x14ac:dyDescent="0.25">
      <c r="K65" s="32" t="s">
        <v>315</v>
      </c>
      <c r="L65" s="1">
        <v>50000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9">AJ66+AI65</f>
        <v>43</v>
      </c>
      <c r="AK65" s="113">
        <f t="shared" si="5"/>
        <v>42785000</v>
      </c>
      <c r="AL65" s="20"/>
      <c r="AT65" s="99">
        <v>3</v>
      </c>
      <c r="AU65" s="172" t="s">
        <v>4271</v>
      </c>
      <c r="AV65" s="99">
        <v>26189</v>
      </c>
      <c r="AW65" s="99" t="s">
        <v>4290</v>
      </c>
      <c r="AX65" s="99" t="s">
        <v>4291</v>
      </c>
      <c r="AY65" s="172">
        <v>5006890</v>
      </c>
    </row>
    <row r="66" spans="1:51" x14ac:dyDescent="0.25">
      <c r="K66" s="32" t="s">
        <v>316</v>
      </c>
      <c r="L66" s="1">
        <v>90000</v>
      </c>
      <c r="M66" s="96"/>
      <c r="N66" s="96"/>
      <c r="O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9"/>
        <v>41</v>
      </c>
      <c r="AK66" s="113">
        <f t="shared" si="5"/>
        <v>533000000</v>
      </c>
      <c r="AL66" s="20"/>
      <c r="AT66" s="186"/>
      <c r="AU66" s="187" t="s">
        <v>4274</v>
      </c>
      <c r="AV66" s="186"/>
      <c r="AW66" s="186"/>
      <c r="AX66" s="186"/>
      <c r="AY66" s="187"/>
    </row>
    <row r="67" spans="1:51" x14ac:dyDescent="0.25">
      <c r="A67" t="s">
        <v>25</v>
      </c>
      <c r="F67" t="s">
        <v>310</v>
      </c>
      <c r="G67" t="s">
        <v>4105</v>
      </c>
      <c r="K67" s="32" t="s">
        <v>317</v>
      </c>
      <c r="L67" s="1">
        <v>50000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9"/>
        <v>39</v>
      </c>
      <c r="AK67" s="113">
        <f t="shared" si="5"/>
        <v>-120900000</v>
      </c>
      <c r="AL67" s="20"/>
      <c r="AT67" s="186"/>
      <c r="AU67" s="187" t="s">
        <v>4271</v>
      </c>
      <c r="AV67" s="186">
        <v>19666</v>
      </c>
      <c r="AW67" s="186" t="s">
        <v>4290</v>
      </c>
      <c r="AX67" s="186" t="s">
        <v>4292</v>
      </c>
      <c r="AY67" s="187"/>
    </row>
    <row r="68" spans="1:51" x14ac:dyDescent="0.25">
      <c r="F68" t="s">
        <v>4109</v>
      </c>
      <c r="G68" t="s">
        <v>4104</v>
      </c>
      <c r="K68" s="32" t="s">
        <v>327</v>
      </c>
      <c r="L68" s="1">
        <v>150000</v>
      </c>
      <c r="M68" s="96"/>
      <c r="N68" s="96"/>
      <c r="O68" s="96"/>
      <c r="P68" s="115"/>
      <c r="Q68" s="115"/>
      <c r="R68" s="115"/>
      <c r="S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9"/>
        <v>36</v>
      </c>
      <c r="AK68" s="113">
        <f t="shared" si="5"/>
        <v>1643040000</v>
      </c>
      <c r="AL68" s="20"/>
      <c r="AT68" s="186"/>
      <c r="AU68" s="187"/>
      <c r="AV68" s="186"/>
      <c r="AW68" s="186"/>
      <c r="AX68" s="186"/>
      <c r="AY68" s="187"/>
    </row>
    <row r="69" spans="1:51" x14ac:dyDescent="0.25">
      <c r="F69" t="s">
        <v>4110</v>
      </c>
      <c r="G69" t="s">
        <v>4106</v>
      </c>
      <c r="K69" s="32" t="s">
        <v>318</v>
      </c>
      <c r="L69" s="1">
        <v>15000</v>
      </c>
      <c r="N69" s="96"/>
      <c r="P69" s="115"/>
      <c r="Q69" s="115"/>
      <c r="R69" s="115"/>
      <c r="S69" s="115"/>
      <c r="W69" s="115"/>
      <c r="AF69" s="20">
        <v>49</v>
      </c>
      <c r="AG69" s="117" t="s">
        <v>4163</v>
      </c>
      <c r="AH69" s="117">
        <v>33500000</v>
      </c>
      <c r="AI69" s="20">
        <v>1</v>
      </c>
      <c r="AJ69" s="99">
        <f t="shared" si="9"/>
        <v>35</v>
      </c>
      <c r="AK69" s="113">
        <f t="shared" si="5"/>
        <v>1172500000</v>
      </c>
      <c r="AL69" s="20"/>
      <c r="AT69" s="99"/>
      <c r="AU69" s="172"/>
      <c r="AV69" s="99"/>
      <c r="AW69" s="99"/>
      <c r="AX69" s="99"/>
      <c r="AY69" s="172"/>
    </row>
    <row r="70" spans="1:51" ht="18.75" x14ac:dyDescent="0.3">
      <c r="G70" t="s">
        <v>4107</v>
      </c>
      <c r="K70" s="32" t="s">
        <v>319</v>
      </c>
      <c r="L70" s="1">
        <v>20000</v>
      </c>
      <c r="N70" s="96"/>
      <c r="P70" s="115"/>
      <c r="Q70" s="115"/>
      <c r="R70" s="115"/>
      <c r="S70" s="115"/>
      <c r="T70" s="115"/>
      <c r="W70" s="165"/>
      <c r="AF70" s="20">
        <v>50</v>
      </c>
      <c r="AG70" s="117" t="s">
        <v>4171</v>
      </c>
      <c r="AH70" s="117">
        <v>12000000</v>
      </c>
      <c r="AI70" s="20">
        <v>1</v>
      </c>
      <c r="AJ70" s="99">
        <f t="shared" si="9"/>
        <v>34</v>
      </c>
      <c r="AK70" s="117">
        <f t="shared" si="5"/>
        <v>408000000</v>
      </c>
      <c r="AL70" s="20"/>
      <c r="AT70" s="99"/>
      <c r="AU70" s="172"/>
      <c r="AV70" s="99"/>
      <c r="AW70" s="182"/>
      <c r="AX70" s="99"/>
      <c r="AY70" s="172"/>
    </row>
    <row r="71" spans="1:51" x14ac:dyDescent="0.25">
      <c r="G71" t="s">
        <v>4108</v>
      </c>
      <c r="K71" s="32" t="s">
        <v>320</v>
      </c>
      <c r="L71" s="1">
        <v>40000</v>
      </c>
      <c r="N71" s="96"/>
      <c r="P71" s="115"/>
      <c r="Q71" s="115"/>
      <c r="R71" s="115"/>
      <c r="S71" s="115"/>
      <c r="T71" s="115"/>
      <c r="W71" s="115"/>
      <c r="X71" s="115"/>
      <c r="Y71" s="115"/>
      <c r="Z71" s="115"/>
      <c r="AA71" s="115"/>
      <c r="AB71" s="115"/>
      <c r="AC71" s="115"/>
      <c r="AD71" s="115"/>
      <c r="AF71" s="20">
        <v>51</v>
      </c>
      <c r="AG71" s="117" t="s">
        <v>4177</v>
      </c>
      <c r="AH71" s="117">
        <v>15500000</v>
      </c>
      <c r="AI71" s="20">
        <v>4</v>
      </c>
      <c r="AJ71" s="99">
        <f t="shared" si="9"/>
        <v>33</v>
      </c>
      <c r="AK71" s="117">
        <f t="shared" si="5"/>
        <v>511500000</v>
      </c>
      <c r="AL71" s="20"/>
      <c r="AT71" s="99"/>
      <c r="AU71" s="99"/>
      <c r="AV71" s="99"/>
      <c r="AW71" s="99"/>
      <c r="AX71" s="99"/>
      <c r="AY71" s="172"/>
    </row>
    <row r="72" spans="1:51" x14ac:dyDescent="0.25">
      <c r="G72" t="s">
        <v>4112</v>
      </c>
      <c r="K72" s="32" t="s">
        <v>322</v>
      </c>
      <c r="L72" s="1">
        <v>150000</v>
      </c>
      <c r="N72" s="96"/>
      <c r="P72" s="115"/>
      <c r="Q72" s="55"/>
      <c r="R72" s="190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4181</v>
      </c>
      <c r="AH72" s="117">
        <v>150000</v>
      </c>
      <c r="AI72" s="20">
        <v>1</v>
      </c>
      <c r="AJ72" s="99">
        <f t="shared" si="9"/>
        <v>29</v>
      </c>
      <c r="AK72" s="117">
        <f t="shared" si="5"/>
        <v>4350000</v>
      </c>
      <c r="AL72" s="20"/>
    </row>
    <row r="73" spans="1:51" x14ac:dyDescent="0.25">
      <c r="G73" t="s">
        <v>4111</v>
      </c>
      <c r="K73" s="32" t="s">
        <v>324</v>
      </c>
      <c r="L73" s="1">
        <v>75000</v>
      </c>
      <c r="P73" s="115"/>
      <c r="Q73" s="55"/>
      <c r="R73" s="190"/>
      <c r="S73" s="115"/>
      <c r="T73" s="115"/>
      <c r="W73" s="115"/>
      <c r="X73" s="128"/>
      <c r="Y73" s="115"/>
      <c r="Z73" s="115"/>
      <c r="AA73" s="115"/>
      <c r="AB73" s="128"/>
      <c r="AC73" s="115"/>
      <c r="AD73" s="115"/>
      <c r="AF73" s="184">
        <v>53</v>
      </c>
      <c r="AG73" s="185" t="s">
        <v>4187</v>
      </c>
      <c r="AH73" s="185">
        <v>29000000</v>
      </c>
      <c r="AI73" s="184">
        <v>15</v>
      </c>
      <c r="AJ73" s="184">
        <f t="shared" si="9"/>
        <v>28</v>
      </c>
      <c r="AK73" s="185">
        <f t="shared" si="5"/>
        <v>812000000</v>
      </c>
      <c r="AL73" s="184" t="s">
        <v>4205</v>
      </c>
    </row>
    <row r="74" spans="1:51" x14ac:dyDescent="0.25">
      <c r="K74" s="32" t="s">
        <v>314</v>
      </c>
      <c r="L74" s="1">
        <v>140000</v>
      </c>
      <c r="P74" s="115"/>
      <c r="Q74" s="26"/>
      <c r="R74" s="190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4235</v>
      </c>
      <c r="AH74" s="117">
        <v>-130000</v>
      </c>
      <c r="AI74" s="20">
        <v>7</v>
      </c>
      <c r="AJ74" s="99">
        <f t="shared" si="9"/>
        <v>13</v>
      </c>
      <c r="AK74" s="117">
        <f t="shared" si="5"/>
        <v>-1690000</v>
      </c>
      <c r="AL74" s="20" t="s">
        <v>4237</v>
      </c>
    </row>
    <row r="75" spans="1:51" x14ac:dyDescent="0.25">
      <c r="K75" s="2" t="s">
        <v>478</v>
      </c>
      <c r="L75" s="3">
        <v>1083333</v>
      </c>
      <c r="P75" s="115"/>
      <c r="Q75" s="55"/>
      <c r="R75" s="190"/>
      <c r="S75" s="122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4294</v>
      </c>
      <c r="AH75" s="117">
        <v>232000</v>
      </c>
      <c r="AI75" s="20">
        <v>2</v>
      </c>
      <c r="AJ75" s="99">
        <f t="shared" si="9"/>
        <v>6</v>
      </c>
      <c r="AK75" s="117">
        <f>AH75*AJ75</f>
        <v>1392000</v>
      </c>
      <c r="AL75" s="20" t="s">
        <v>4296</v>
      </c>
    </row>
    <row r="76" spans="1:51" x14ac:dyDescent="0.25">
      <c r="K76" s="2"/>
      <c r="L76" s="3"/>
      <c r="P76" s="128"/>
      <c r="Q76" s="55"/>
      <c r="R76" s="190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4311</v>
      </c>
      <c r="AH76" s="117">
        <v>-170000</v>
      </c>
      <c r="AI76" s="20">
        <v>3</v>
      </c>
      <c r="AJ76" s="99">
        <f t="shared" si="9"/>
        <v>4</v>
      </c>
      <c r="AK76" s="117">
        <f t="shared" si="5"/>
        <v>-680000</v>
      </c>
      <c r="AL76" s="20"/>
    </row>
    <row r="77" spans="1:51" x14ac:dyDescent="0.25">
      <c r="K77" s="2"/>
      <c r="L77" s="3"/>
      <c r="P77" s="128"/>
      <c r="Q77" s="122"/>
      <c r="R77" s="115"/>
      <c r="S77" s="115"/>
      <c r="W77" s="115"/>
      <c r="X77" s="128"/>
      <c r="Y77" s="115"/>
      <c r="Z77" s="115"/>
      <c r="AA77" s="115"/>
      <c r="AB77" s="128"/>
      <c r="AC77" s="115"/>
      <c r="AD77" s="115"/>
      <c r="AF77" s="20">
        <v>57</v>
      </c>
      <c r="AG77" s="117" t="s">
        <v>4326</v>
      </c>
      <c r="AH77" s="117">
        <v>-300000</v>
      </c>
      <c r="AI77" s="20">
        <v>1</v>
      </c>
      <c r="AJ77" s="99">
        <f t="shared" si="9"/>
        <v>1</v>
      </c>
      <c r="AK77" s="117">
        <f t="shared" si="5"/>
        <v>-300000</v>
      </c>
      <c r="AL77" s="20"/>
    </row>
    <row r="78" spans="1:51" x14ac:dyDescent="0.25">
      <c r="K78" s="2" t="s">
        <v>6</v>
      </c>
      <c r="L78" s="3">
        <f>SUM(L55:L76)</f>
        <v>3383333</v>
      </c>
      <c r="P78" s="115"/>
      <c r="W78" s="115"/>
      <c r="X78" s="115"/>
      <c r="Y78" s="115"/>
      <c r="Z78" s="115"/>
      <c r="AA78" s="115"/>
      <c r="AB78" s="115"/>
      <c r="AC78" s="115"/>
      <c r="AD78" s="115"/>
      <c r="AF78" s="20"/>
      <c r="AG78" s="117"/>
      <c r="AH78" s="117"/>
      <c r="AI78" s="20"/>
      <c r="AJ78" s="99">
        <f t="shared" si="9"/>
        <v>0</v>
      </c>
      <c r="AK78" s="117">
        <f t="shared" si="5"/>
        <v>0</v>
      </c>
      <c r="AL78" s="20"/>
    </row>
    <row r="79" spans="1:51" x14ac:dyDescent="0.25">
      <c r="K79" s="2" t="s">
        <v>328</v>
      </c>
      <c r="L79" s="3">
        <f>L78/30</f>
        <v>112777.76666666666</v>
      </c>
      <c r="W79" s="115"/>
      <c r="X79" s="115"/>
      <c r="Y79" s="115"/>
      <c r="Z79" s="115"/>
      <c r="AA79" s="115"/>
      <c r="AB79" s="115"/>
      <c r="AC79" s="115"/>
      <c r="AD79" s="115"/>
      <c r="AF79" s="20"/>
      <c r="AG79" s="117"/>
      <c r="AH79" s="117"/>
      <c r="AI79" s="20"/>
      <c r="AJ79" s="99">
        <f t="shared" si="9"/>
        <v>0</v>
      </c>
      <c r="AK79" s="117">
        <f t="shared" si="5"/>
        <v>0</v>
      </c>
      <c r="AL79" s="20"/>
    </row>
    <row r="80" spans="1:51" x14ac:dyDescent="0.25">
      <c r="O80" s="115"/>
      <c r="Q80" s="22"/>
      <c r="W80" s="115"/>
      <c r="X80" s="115"/>
      <c r="Y80" s="115"/>
      <c r="AC80" s="115"/>
      <c r="AD80" s="115"/>
      <c r="AF80" s="20"/>
      <c r="AG80" s="117"/>
      <c r="AH80" s="117"/>
      <c r="AI80" s="20"/>
      <c r="AJ80" s="99">
        <f t="shared" si="9"/>
        <v>0</v>
      </c>
      <c r="AK80" s="117">
        <f t="shared" si="5"/>
        <v>0</v>
      </c>
      <c r="AL80" s="20"/>
    </row>
    <row r="81" spans="11:50" x14ac:dyDescent="0.25">
      <c r="O81" s="115"/>
      <c r="X81" s="115"/>
      <c r="Y81" s="115"/>
      <c r="AC81" s="115"/>
      <c r="AD81" s="115"/>
      <c r="AF81" s="99"/>
      <c r="AG81" s="113"/>
      <c r="AH81" s="113"/>
      <c r="AI81" s="99"/>
      <c r="AJ81" s="99">
        <f t="shared" si="9"/>
        <v>0</v>
      </c>
      <c r="AK81" s="117">
        <f t="shared" si="5"/>
        <v>0</v>
      </c>
      <c r="AL81" s="99"/>
    </row>
    <row r="82" spans="11:50" x14ac:dyDescent="0.25">
      <c r="X82" s="115"/>
      <c r="Y82" s="115"/>
      <c r="AC82" s="115"/>
      <c r="AD82" s="115"/>
      <c r="AF82" s="99"/>
      <c r="AG82" s="113"/>
      <c r="AH82" s="113"/>
      <c r="AI82" s="99"/>
      <c r="AJ82" s="99">
        <f t="shared" si="9"/>
        <v>0</v>
      </c>
      <c r="AK82" s="117">
        <f t="shared" si="5"/>
        <v>0</v>
      </c>
      <c r="AL82" s="99"/>
      <c r="AP82" t="s">
        <v>25</v>
      </c>
      <c r="AU82" t="s">
        <v>25</v>
      </c>
    </row>
    <row r="83" spans="11:50" x14ac:dyDescent="0.25">
      <c r="AF83" s="99"/>
      <c r="AG83" s="99"/>
      <c r="AH83" s="95">
        <f>SUM(AH20:AH81)</f>
        <v>222223899</v>
      </c>
      <c r="AI83" s="99"/>
      <c r="AJ83" s="99"/>
      <c r="AK83" s="95">
        <f>SUM(AK20:AK82)</f>
        <v>13695116438</v>
      </c>
      <c r="AL83" s="95">
        <f>AK83*AL86/31</f>
        <v>8835558.9922580644</v>
      </c>
    </row>
    <row r="84" spans="11:50" x14ac:dyDescent="0.25"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K85" s="48" t="s">
        <v>789</v>
      </c>
      <c r="L85" s="48" t="s">
        <v>476</v>
      </c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K86" s="47">
        <v>700000</v>
      </c>
      <c r="L86" s="48" t="s">
        <v>1041</v>
      </c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K87" s="47">
        <v>500000</v>
      </c>
      <c r="L87" s="48" t="s">
        <v>479</v>
      </c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K88" s="47">
        <v>180000</v>
      </c>
      <c r="L88" s="48" t="s">
        <v>558</v>
      </c>
      <c r="AF88" s="99"/>
      <c r="AG88" s="99" t="s">
        <v>4067</v>
      </c>
      <c r="AH88" s="95">
        <f>AH83+AL83</f>
        <v>231059457.99225807</v>
      </c>
      <c r="AI88" s="99"/>
      <c r="AJ88" s="99"/>
      <c r="AK88" s="99"/>
      <c r="AL88" s="99"/>
      <c r="AS88" s="96" t="s">
        <v>25</v>
      </c>
    </row>
    <row r="89" spans="11:50" x14ac:dyDescent="0.25">
      <c r="K89" s="47">
        <v>0</v>
      </c>
      <c r="L89" s="48" t="s">
        <v>785</v>
      </c>
      <c r="AG89" t="s">
        <v>4070</v>
      </c>
      <c r="AH89" s="114">
        <f>SUM(N33:N36)</f>
        <v>218911484.29999998</v>
      </c>
      <c r="AO89" t="s">
        <v>25</v>
      </c>
      <c r="AT89" t="s">
        <v>25</v>
      </c>
    </row>
    <row r="90" spans="11:50" x14ac:dyDescent="0.25">
      <c r="K90" s="47">
        <v>0</v>
      </c>
      <c r="L90" s="48" t="s">
        <v>786</v>
      </c>
      <c r="AG90" t="s">
        <v>4144</v>
      </c>
      <c r="AH90" s="114">
        <f>AH89-AH83</f>
        <v>-3312414.7000000179</v>
      </c>
    </row>
    <row r="91" spans="11:50" x14ac:dyDescent="0.25">
      <c r="K91" s="47">
        <v>500000</v>
      </c>
      <c r="L91" s="48" t="s">
        <v>787</v>
      </c>
      <c r="AG91" t="s">
        <v>945</v>
      </c>
      <c r="AH91" s="114">
        <f>AL83</f>
        <v>8835558.9922580644</v>
      </c>
      <c r="AR91" s="96" t="s">
        <v>25</v>
      </c>
    </row>
    <row r="92" spans="11:50" x14ac:dyDescent="0.25">
      <c r="K92" s="47">
        <v>75000</v>
      </c>
      <c r="L92" s="48" t="s">
        <v>788</v>
      </c>
      <c r="AG92" t="s">
        <v>4071</v>
      </c>
      <c r="AH92" s="114">
        <f>AH89-AH88</f>
        <v>-12147973.69225809</v>
      </c>
    </row>
    <row r="93" spans="11:50" x14ac:dyDescent="0.25">
      <c r="K93" s="47">
        <v>0</v>
      </c>
      <c r="L93" s="48" t="s">
        <v>790</v>
      </c>
    </row>
    <row r="94" spans="11:50" x14ac:dyDescent="0.25">
      <c r="K94" s="47">
        <v>500000</v>
      </c>
      <c r="L94" s="48" t="s">
        <v>564</v>
      </c>
    </row>
    <row r="95" spans="11:50" x14ac:dyDescent="0.25">
      <c r="K95" s="47">
        <v>50000</v>
      </c>
      <c r="L95" s="48" t="s">
        <v>793</v>
      </c>
    </row>
    <row r="96" spans="11:50" x14ac:dyDescent="0.25">
      <c r="K96" s="47">
        <v>140000</v>
      </c>
      <c r="L96" s="48" t="s">
        <v>314</v>
      </c>
    </row>
    <row r="97" spans="8:12" x14ac:dyDescent="0.25">
      <c r="K97" s="47"/>
      <c r="L97" s="48" t="s">
        <v>25</v>
      </c>
    </row>
    <row r="98" spans="8:12" x14ac:dyDescent="0.25">
      <c r="H98" s="96"/>
      <c r="K98" s="47">
        <f>SUM(K86:K97)</f>
        <v>2645000</v>
      </c>
      <c r="L98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4316</v>
      </c>
      <c r="C1" s="99" t="s">
        <v>4317</v>
      </c>
      <c r="D1" s="99" t="s">
        <v>4318</v>
      </c>
      <c r="E1" s="99" t="s">
        <v>4319</v>
      </c>
      <c r="F1" s="74" t="s">
        <v>4320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4335</v>
      </c>
      <c r="V10" s="96" t="s">
        <v>4337</v>
      </c>
      <c r="W10" t="s">
        <v>4331</v>
      </c>
      <c r="X10" t="s">
        <v>4333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4334</v>
      </c>
      <c r="Q13" s="99" t="s">
        <v>4335</v>
      </c>
      <c r="R13" s="99" t="s">
        <v>4336</v>
      </c>
      <c r="S13" s="99" t="s">
        <v>4330</v>
      </c>
      <c r="T13" s="99" t="s">
        <v>4332</v>
      </c>
      <c r="U13" s="69" t="s">
        <v>4331</v>
      </c>
      <c r="V13" s="69" t="s">
        <v>4333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4321</v>
      </c>
      <c r="F27" s="99" t="s">
        <v>4322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AgentBased</vt:lpstr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2018-10-22T12:06:44Z</dcterms:modified>
</cp:coreProperties>
</file>