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7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G48" i="52" l="1"/>
  <c r="M112" i="18"/>
  <c r="R220" i="18"/>
  <c r="R199" i="18"/>
  <c r="P132" i="18"/>
  <c r="W181" i="18"/>
  <c r="W180" i="18"/>
  <c r="Y192" i="18"/>
  <c r="M35" i="52"/>
  <c r="M33" i="52"/>
  <c r="M40" i="52"/>
  <c r="M39" i="52"/>
  <c r="L39" i="52"/>
  <c r="N28" i="52"/>
  <c r="N27" i="52"/>
  <c r="N47" i="18"/>
  <c r="P23" i="18"/>
  <c r="N23" i="18" s="1"/>
  <c r="P30" i="18"/>
  <c r="N30" i="18" s="1"/>
  <c r="AD27" i="52" l="1"/>
  <c r="Z27" i="52"/>
  <c r="AE27" i="52"/>
  <c r="N40" i="18"/>
  <c r="D313" i="20" l="1"/>
  <c r="L38" i="18" l="1"/>
  <c r="L117" i="18"/>
  <c r="W179" i="18" l="1"/>
  <c r="W178" i="18"/>
  <c r="AJ201" i="18"/>
  <c r="AJ148" i="18"/>
  <c r="N24" i="52"/>
  <c r="N26" i="52"/>
  <c r="N25" i="52"/>
  <c r="R174" i="18" l="1"/>
  <c r="T200" i="18" s="1"/>
  <c r="N70" i="18"/>
  <c r="P32" i="18"/>
  <c r="N32" i="18" s="1"/>
  <c r="P25" i="18"/>
  <c r="N25" i="18" s="1"/>
  <c r="N51" i="18"/>
  <c r="K116" i="18"/>
  <c r="L111" i="18"/>
  <c r="M117" i="18"/>
  <c r="Z26" i="52"/>
  <c r="AD26" i="52"/>
  <c r="AE26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AL200" i="18"/>
  <c r="AM200" i="18" s="1"/>
  <c r="I325" i="20" l="1"/>
  <c r="G324" i="20"/>
  <c r="J325" i="20"/>
  <c r="AL199" i="18"/>
  <c r="W177" i="18"/>
  <c r="W176" i="18"/>
  <c r="X192" i="18"/>
  <c r="Q36" i="52"/>
  <c r="N23" i="52"/>
  <c r="N22" i="52"/>
  <c r="P36" i="52"/>
  <c r="Z25" i="52"/>
  <c r="AD25" i="52"/>
  <c r="AE25" i="52"/>
  <c r="K324" i="20" l="1"/>
  <c r="J324" i="20"/>
  <c r="G323" i="20"/>
  <c r="I324" i="20"/>
  <c r="AM199" i="18"/>
  <c r="AL198" i="18"/>
  <c r="W175" i="18"/>
  <c r="W174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6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11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8" i="18"/>
  <c r="I319" i="20" l="1"/>
  <c r="K319" i="20"/>
  <c r="J319" i="20"/>
  <c r="G318" i="20"/>
  <c r="W173" i="18"/>
  <c r="W172" i="18"/>
  <c r="J318" i="20" l="1"/>
  <c r="G317" i="20"/>
  <c r="I318" i="20"/>
  <c r="K318" i="20"/>
  <c r="AD22" i="52"/>
  <c r="AC22" i="52"/>
  <c r="AE22" i="52"/>
  <c r="AD21" i="52"/>
  <c r="AC21" i="52"/>
  <c r="AE21" i="52"/>
  <c r="K317" i="20" l="1"/>
  <c r="J317" i="20"/>
  <c r="G316" i="20"/>
  <c r="I317" i="20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L109" i="18"/>
  <c r="P31" i="18"/>
  <c r="N31" i="18" s="1"/>
  <c r="P24" i="18"/>
  <c r="N24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20" i="52"/>
  <c r="AD19" i="52"/>
  <c r="Z20" i="52"/>
  <c r="Z19" i="52"/>
  <c r="AE20" i="52"/>
  <c r="AE19" i="52"/>
  <c r="K313" i="20" l="1"/>
  <c r="J313" i="20"/>
  <c r="G312" i="20"/>
  <c r="I313" i="20"/>
  <c r="D304" i="20"/>
  <c r="W171" i="18"/>
  <c r="W170" i="18"/>
  <c r="AD18" i="52"/>
  <c r="Z18" i="52"/>
  <c r="AE18" i="52"/>
  <c r="AD17" i="52"/>
  <c r="Z17" i="52"/>
  <c r="AE17" i="52"/>
  <c r="N17" i="52"/>
  <c r="N16" i="52"/>
  <c r="K312" i="20" l="1"/>
  <c r="J312" i="20"/>
  <c r="G311" i="20"/>
  <c r="I312" i="20"/>
  <c r="L110" i="18"/>
  <c r="L112" i="18"/>
  <c r="L113" i="18"/>
  <c r="L114" i="18"/>
  <c r="L115" i="18"/>
  <c r="I311" i="20" l="1"/>
  <c r="K311" i="20"/>
  <c r="J311" i="20"/>
  <c r="G310" i="20"/>
  <c r="W169" i="18"/>
  <c r="W168" i="18"/>
  <c r="D303" i="20"/>
  <c r="D302" i="20"/>
  <c r="W167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6" i="52"/>
  <c r="AD16" i="52"/>
  <c r="AE16" i="52"/>
  <c r="P33" i="18"/>
  <c r="P29" i="18"/>
  <c r="P26" i="18"/>
  <c r="P22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5" i="18" l="1"/>
  <c r="U184" i="18"/>
  <c r="N56" i="18"/>
  <c r="N54" i="18"/>
  <c r="M114" i="18" l="1"/>
  <c r="N114" i="18" s="1"/>
  <c r="AD15" i="52"/>
  <c r="AE15" i="52"/>
  <c r="AD14" i="52"/>
  <c r="AE14" i="52"/>
  <c r="Z15" i="52"/>
  <c r="D296" i="20"/>
  <c r="D295" i="20"/>
  <c r="W164" i="18" l="1"/>
  <c r="W163" i="18"/>
  <c r="L11" i="52"/>
  <c r="L10" i="52"/>
  <c r="AL193" i="18"/>
  <c r="AL192" i="18" s="1"/>
  <c r="AL191" i="18" s="1"/>
  <c r="C2" i="55"/>
  <c r="C32" i="55" s="1"/>
  <c r="B2" i="55"/>
  <c r="D61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AM194" i="18"/>
  <c r="AM193" i="18"/>
  <c r="AM192" i="18"/>
  <c r="H33" i="55"/>
  <c r="G2" i="55"/>
  <c r="G33" i="55" s="1"/>
  <c r="D2" i="55"/>
  <c r="W162" i="18"/>
  <c r="W161" i="18"/>
  <c r="H38" i="55" l="1"/>
  <c r="I2" i="55"/>
  <c r="I33" i="55" s="1"/>
  <c r="I38" i="55" s="1"/>
  <c r="D32" i="55"/>
  <c r="D293" i="20"/>
  <c r="W160" i="18" l="1"/>
  <c r="N55" i="18"/>
  <c r="M113" i="18" s="1"/>
  <c r="N59" i="18"/>
  <c r="N52" i="18"/>
  <c r="N113" i="18" l="1"/>
  <c r="D292" i="20"/>
  <c r="C8" i="36"/>
  <c r="W159" i="18"/>
  <c r="N5" i="52"/>
  <c r="N49" i="18" l="1"/>
  <c r="D291" i="20"/>
  <c r="D290" i="20" l="1"/>
  <c r="D289" i="20" l="1"/>
  <c r="N29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6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9" i="18"/>
  <c r="D281" i="20" l="1"/>
  <c r="D280" i="20" l="1"/>
  <c r="AD5" i="52" l="1"/>
  <c r="B38" i="52"/>
  <c r="D279" i="20"/>
  <c r="W134" i="18" l="1"/>
  <c r="W157" i="18"/>
  <c r="D278" i="20"/>
  <c r="W136" i="18" l="1"/>
  <c r="W13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9" i="18"/>
  <c r="AR14" i="18"/>
  <c r="S12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8" i="18"/>
  <c r="H270" i="20" l="1"/>
  <c r="H271" i="20"/>
  <c r="H272" i="20"/>
  <c r="D269" i="20"/>
  <c r="H269" i="20"/>
  <c r="AL135" i="18" l="1"/>
  <c r="S6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5" i="52"/>
  <c r="AD3" i="52"/>
  <c r="AD2" i="52"/>
  <c r="AL131" i="18" l="1"/>
  <c r="AM132" i="18"/>
  <c r="H38" i="54"/>
  <c r="I2" i="54"/>
  <c r="I33" i="54" s="1"/>
  <c r="I38" i="54" s="1"/>
  <c r="D32" i="54"/>
  <c r="N124" i="18"/>
  <c r="N125" i="18"/>
  <c r="N126" i="18"/>
  <c r="N127" i="18"/>
  <c r="N128" i="18"/>
  <c r="N129" i="18"/>
  <c r="N130" i="18"/>
  <c r="N131" i="18"/>
  <c r="N123" i="18"/>
  <c r="AM131" i="18" l="1"/>
  <c r="AL130" i="18"/>
  <c r="N4" i="52"/>
  <c r="N3" i="52"/>
  <c r="N2" i="52"/>
  <c r="N33" i="52" l="1"/>
  <c r="AL129" i="18"/>
  <c r="AM130" i="18"/>
  <c r="O33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5" i="18"/>
  <c r="AM124" i="18" l="1"/>
  <c r="AL123" i="18"/>
  <c r="AM123" i="18" l="1"/>
  <c r="AL122" i="18"/>
  <c r="AL121" i="18" l="1"/>
  <c r="AM122" i="18"/>
  <c r="W149" i="18"/>
  <c r="W150" i="18"/>
  <c r="W151" i="18"/>
  <c r="W152" i="18"/>
  <c r="W153" i="18"/>
  <c r="W154" i="18"/>
  <c r="W166" i="18"/>
  <c r="W148" i="18"/>
  <c r="AM121" i="18" l="1"/>
  <c r="AL120" i="18"/>
  <c r="N61" i="18"/>
  <c r="AM120" i="18" l="1"/>
  <c r="AL119" i="18"/>
  <c r="AM119" i="18" l="1"/>
  <c r="AL118" i="18"/>
  <c r="T132" i="18"/>
  <c r="S43" i="18"/>
  <c r="S44" i="18" s="1"/>
  <c r="S45" i="18" s="1"/>
  <c r="R153" i="18"/>
  <c r="R152" i="18"/>
  <c r="R151" i="18"/>
  <c r="D57" i="51"/>
  <c r="AL117" i="18" l="1"/>
  <c r="AM118" i="18"/>
  <c r="S46" i="18"/>
  <c r="S47" i="18" s="1"/>
  <c r="AM117" i="18" l="1"/>
  <c r="AL116" i="18"/>
  <c r="S48" i="18"/>
  <c r="S49" i="18" s="1"/>
  <c r="S50" i="18" s="1"/>
  <c r="S51" i="18" s="1"/>
  <c r="S52" i="18" s="1"/>
  <c r="N33" i="18"/>
  <c r="R150" i="18" s="1"/>
  <c r="Q54" i="18" l="1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3" i="18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7" i="18"/>
  <c r="M115" i="18" l="1"/>
  <c r="N115" i="18" s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6" i="18"/>
  <c r="AL101" i="18" l="1"/>
  <c r="AM102" i="18"/>
  <c r="AL185" i="18"/>
  <c r="AM186" i="18"/>
  <c r="S30" i="18"/>
  <c r="S31" i="18" s="1"/>
  <c r="S32" i="18" s="1"/>
  <c r="S33" i="18" s="1"/>
  <c r="S34" i="18" s="1"/>
  <c r="S35" i="18" s="1"/>
  <c r="S36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6" i="18"/>
  <c r="AL99" i="18" l="1"/>
  <c r="AM100" i="18"/>
  <c r="M110" i="18"/>
  <c r="N110" i="18" s="1"/>
  <c r="AL183" i="18"/>
  <c r="AM184" i="18"/>
  <c r="AM99" i="18" l="1"/>
  <c r="AL98" i="18"/>
  <c r="AL182" i="18"/>
  <c r="AM183" i="18"/>
  <c r="P66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R149" i="18" s="1"/>
  <c r="Q38" i="18" l="1"/>
  <c r="AM94" i="18"/>
  <c r="AL93" i="18"/>
  <c r="AJ205" i="18"/>
  <c r="AJ206" i="18" s="1"/>
  <c r="AL177" i="18"/>
  <c r="AM178" i="18"/>
  <c r="AL92" i="18" l="1"/>
  <c r="AM93" i="18"/>
  <c r="AL176" i="18"/>
  <c r="AM177" i="18"/>
  <c r="S64" i="18"/>
  <c r="S65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6" i="18"/>
  <c r="AL85" i="18" l="1"/>
  <c r="AM86" i="18"/>
  <c r="S67" i="18"/>
  <c r="S68" i="18" s="1"/>
  <c r="S69" i="18" s="1"/>
  <c r="S70" i="18" s="1"/>
  <c r="S71" i="18" s="1"/>
  <c r="S72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3" i="18"/>
  <c r="S7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5" i="18"/>
  <c r="S76" i="18" s="1"/>
  <c r="S77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1" i="18"/>
  <c r="AN201" i="18" s="1"/>
  <c r="AJ20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8" i="18" l="1"/>
  <c r="AJ207" i="18"/>
  <c r="AJ20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79" i="18" l="1"/>
  <c r="S80" i="18" s="1"/>
  <c r="AL77" i="18"/>
  <c r="AM78" i="18"/>
  <c r="N66" i="18"/>
  <c r="G307" i="20" l="1"/>
  <c r="K308" i="20"/>
  <c r="J308" i="20"/>
  <c r="I308" i="20"/>
  <c r="S81" i="18"/>
  <c r="S82" i="18" s="1"/>
  <c r="S83" i="18" s="1"/>
  <c r="S84" i="18" s="1"/>
  <c r="S85" i="18" s="1"/>
  <c r="AL76" i="18"/>
  <c r="AM77" i="18"/>
  <c r="G306" i="20" l="1"/>
  <c r="J307" i="20"/>
  <c r="I307" i="20"/>
  <c r="K307" i="20"/>
  <c r="S86" i="18"/>
  <c r="S87" i="18" s="1"/>
  <c r="AL75" i="18"/>
  <c r="AM76" i="18"/>
  <c r="N60" i="18"/>
  <c r="R148" i="18" s="1"/>
  <c r="Q124" i="18" l="1"/>
  <c r="R158" i="18"/>
  <c r="U200" i="18" s="1"/>
  <c r="S88" i="18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G305" i="20"/>
  <c r="I306" i="20"/>
  <c r="K306" i="20"/>
  <c r="J306" i="20"/>
  <c r="AJ154" i="18"/>
  <c r="AJ155" i="18" s="1"/>
  <c r="M109" i="18"/>
  <c r="N109" i="18" s="1"/>
  <c r="N117" i="18" s="1"/>
  <c r="AL74" i="18"/>
  <c r="AM75" i="18"/>
  <c r="G304" i="20" l="1"/>
  <c r="I305" i="20"/>
  <c r="K305" i="20"/>
  <c r="J305" i="20"/>
  <c r="S106" i="18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AL73" i="18"/>
  <c r="AM74" i="18"/>
  <c r="N92" i="18"/>
  <c r="V36" i="18" l="1"/>
  <c r="V52" i="18"/>
  <c r="V35" i="18"/>
  <c r="X35" i="18" s="1"/>
  <c r="V51" i="18"/>
  <c r="S118" i="18"/>
  <c r="V117" i="18"/>
  <c r="G303" i="20"/>
  <c r="K304" i="20"/>
  <c r="I304" i="20"/>
  <c r="J304" i="20"/>
  <c r="V115" i="18"/>
  <c r="W115" i="18" s="1"/>
  <c r="V116" i="18"/>
  <c r="T187" i="18"/>
  <c r="V190" i="18" s="1"/>
  <c r="V200" i="18"/>
  <c r="V112" i="18"/>
  <c r="W112" i="18" s="1"/>
  <c r="V114" i="18"/>
  <c r="V113" i="18"/>
  <c r="V111" i="18"/>
  <c r="X111" i="18" s="1"/>
  <c r="V34" i="18"/>
  <c r="W34" i="18" s="1"/>
  <c r="V50" i="18"/>
  <c r="V109" i="18"/>
  <c r="V110" i="18"/>
  <c r="V107" i="18"/>
  <c r="V105" i="18"/>
  <c r="V104" i="18"/>
  <c r="V103" i="18"/>
  <c r="V108" i="18"/>
  <c r="V102" i="18"/>
  <c r="V106" i="18"/>
  <c r="V99" i="18"/>
  <c r="W99" i="18" s="1"/>
  <c r="V101" i="18"/>
  <c r="V100" i="18"/>
  <c r="V98" i="18"/>
  <c r="V97" i="18"/>
  <c r="V33" i="18"/>
  <c r="W33" i="18" s="1"/>
  <c r="V49" i="18"/>
  <c r="V95" i="18"/>
  <c r="V96" i="18"/>
  <c r="V93" i="18"/>
  <c r="V92" i="18"/>
  <c r="V91" i="18"/>
  <c r="V90" i="18"/>
  <c r="V87" i="18"/>
  <c r="V89" i="18"/>
  <c r="V88" i="18"/>
  <c r="V94" i="18"/>
  <c r="V123" i="18"/>
  <c r="V85" i="18"/>
  <c r="W85" i="18" s="1"/>
  <c r="V86" i="18"/>
  <c r="V32" i="18"/>
  <c r="W32" i="18" s="1"/>
  <c r="V48" i="18"/>
  <c r="V83" i="18"/>
  <c r="W83" i="18" s="1"/>
  <c r="V84" i="18"/>
  <c r="V80" i="18"/>
  <c r="W80" i="18" s="1"/>
  <c r="V82" i="18"/>
  <c r="V81" i="18"/>
  <c r="V79" i="18"/>
  <c r="W79" i="18" s="1"/>
  <c r="V77" i="18"/>
  <c r="V78" i="18"/>
  <c r="V76" i="18"/>
  <c r="V75" i="18"/>
  <c r="V31" i="18"/>
  <c r="V30" i="18"/>
  <c r="W30" i="18" s="1"/>
  <c r="V47" i="18"/>
  <c r="V29" i="18"/>
  <c r="X29" i="18" s="1"/>
  <c r="V46" i="18"/>
  <c r="V53" i="18"/>
  <c r="V45" i="18"/>
  <c r="V74" i="18"/>
  <c r="V44" i="18"/>
  <c r="V73" i="18"/>
  <c r="V28" i="18"/>
  <c r="V72" i="18"/>
  <c r="V27" i="18"/>
  <c r="V25" i="18"/>
  <c r="V26" i="18"/>
  <c r="W26" i="18" s="1"/>
  <c r="V71" i="18"/>
  <c r="V70" i="18"/>
  <c r="V69" i="18"/>
  <c r="V24" i="18"/>
  <c r="V68" i="18"/>
  <c r="V67" i="18"/>
  <c r="V65" i="18"/>
  <c r="V66" i="18"/>
  <c r="V21" i="18"/>
  <c r="V23" i="18"/>
  <c r="V62" i="18"/>
  <c r="V20" i="18"/>
  <c r="V22" i="18"/>
  <c r="V63" i="18"/>
  <c r="V64" i="18"/>
  <c r="AL72" i="18"/>
  <c r="AM73" i="18"/>
  <c r="W52" i="18" l="1"/>
  <c r="X52" i="18"/>
  <c r="W36" i="18"/>
  <c r="X36" i="18"/>
  <c r="V118" i="18"/>
  <c r="W118" i="18" s="1"/>
  <c r="S119" i="18"/>
  <c r="S136" i="18"/>
  <c r="N69" i="18" s="1"/>
  <c r="W35" i="18"/>
  <c r="W51" i="18"/>
  <c r="X51" i="18"/>
  <c r="W117" i="18"/>
  <c r="X117" i="18"/>
  <c r="X115" i="18"/>
  <c r="G302" i="20"/>
  <c r="K303" i="20"/>
  <c r="I303" i="20"/>
  <c r="J303" i="20"/>
  <c r="W116" i="18"/>
  <c r="X116" i="18"/>
  <c r="X112" i="18"/>
  <c r="X114" i="18"/>
  <c r="W114" i="18"/>
  <c r="W113" i="18"/>
  <c r="X113" i="18"/>
  <c r="W111" i="18"/>
  <c r="X34" i="18"/>
  <c r="W50" i="18"/>
  <c r="X50" i="18"/>
  <c r="X99" i="18"/>
  <c r="W110" i="18"/>
  <c r="X110" i="18"/>
  <c r="W109" i="18"/>
  <c r="X109" i="18"/>
  <c r="W102" i="18"/>
  <c r="X102" i="18"/>
  <c r="W104" i="18"/>
  <c r="X104" i="18"/>
  <c r="X106" i="18"/>
  <c r="W106" i="18"/>
  <c r="W105" i="18"/>
  <c r="X105" i="18"/>
  <c r="W103" i="18"/>
  <c r="X103" i="18"/>
  <c r="W108" i="18"/>
  <c r="X108" i="18"/>
  <c r="W107" i="18"/>
  <c r="X107" i="18"/>
  <c r="W100" i="18"/>
  <c r="X100" i="18"/>
  <c r="W101" i="18"/>
  <c r="X101" i="18"/>
  <c r="X33" i="18"/>
  <c r="W97" i="18"/>
  <c r="X97" i="18"/>
  <c r="W98" i="18"/>
  <c r="X98" i="18"/>
  <c r="W49" i="18"/>
  <c r="X49" i="18"/>
  <c r="W96" i="18"/>
  <c r="X96" i="18"/>
  <c r="W95" i="18"/>
  <c r="X95" i="18"/>
  <c r="X92" i="18"/>
  <c r="W92" i="18"/>
  <c r="W93" i="18"/>
  <c r="X93" i="18"/>
  <c r="W90" i="18"/>
  <c r="X90" i="18"/>
  <c r="W91" i="18"/>
  <c r="X91" i="18"/>
  <c r="W123" i="18"/>
  <c r="X123" i="18"/>
  <c r="W89" i="18"/>
  <c r="X89" i="18"/>
  <c r="X94" i="18"/>
  <c r="W94" i="18"/>
  <c r="W88" i="18"/>
  <c r="X88" i="18"/>
  <c r="W87" i="18"/>
  <c r="X87" i="18"/>
  <c r="X85" i="18"/>
  <c r="W86" i="18"/>
  <c r="X86" i="18"/>
  <c r="X32" i="18"/>
  <c r="W48" i="18"/>
  <c r="X48" i="18"/>
  <c r="X83" i="18"/>
  <c r="W84" i="18"/>
  <c r="X84" i="18"/>
  <c r="X80" i="18"/>
  <c r="W81" i="18"/>
  <c r="X81" i="18"/>
  <c r="W82" i="18"/>
  <c r="X82" i="18"/>
  <c r="X79" i="18"/>
  <c r="W78" i="18"/>
  <c r="X78" i="18"/>
  <c r="W77" i="18"/>
  <c r="X77" i="18"/>
  <c r="W76" i="18"/>
  <c r="X76" i="18"/>
  <c r="W75" i="18"/>
  <c r="X75" i="18"/>
  <c r="W31" i="18"/>
  <c r="X31" i="18"/>
  <c r="X30" i="18"/>
  <c r="W47" i="18"/>
  <c r="X47" i="18"/>
  <c r="W29" i="18"/>
  <c r="W46" i="18"/>
  <c r="X46" i="18"/>
  <c r="W45" i="18"/>
  <c r="X45" i="18"/>
  <c r="W53" i="18"/>
  <c r="X53" i="18"/>
  <c r="S135" i="18"/>
  <c r="N36" i="18" s="1"/>
  <c r="S134" i="18"/>
  <c r="U134" i="18" s="1"/>
  <c r="W74" i="18"/>
  <c r="X74" i="18"/>
  <c r="X44" i="18"/>
  <c r="W44" i="18"/>
  <c r="W22" i="18"/>
  <c r="X22" i="18"/>
  <c r="W21" i="18"/>
  <c r="X21" i="18"/>
  <c r="W67" i="18"/>
  <c r="X67" i="18"/>
  <c r="W69" i="18"/>
  <c r="X69" i="18"/>
  <c r="W72" i="18"/>
  <c r="X72" i="18"/>
  <c r="W64" i="18"/>
  <c r="X64" i="18"/>
  <c r="W70" i="18"/>
  <c r="X70" i="18"/>
  <c r="X26" i="18"/>
  <c r="W28" i="18"/>
  <c r="X28" i="18"/>
  <c r="W20" i="18"/>
  <c r="X20" i="18"/>
  <c r="W66" i="18"/>
  <c r="X66" i="18"/>
  <c r="W25" i="18"/>
  <c r="X25" i="18"/>
  <c r="X73" i="18"/>
  <c r="W73" i="18"/>
  <c r="W63" i="18"/>
  <c r="X63" i="18"/>
  <c r="W62" i="18"/>
  <c r="X62" i="18"/>
  <c r="W68" i="18"/>
  <c r="X68" i="18"/>
  <c r="W23" i="18"/>
  <c r="X23" i="18"/>
  <c r="W65" i="18"/>
  <c r="X65" i="18"/>
  <c r="X24" i="18"/>
  <c r="W24" i="18"/>
  <c r="W71" i="18"/>
  <c r="X71" i="18"/>
  <c r="W27" i="18"/>
  <c r="X27" i="18"/>
  <c r="AL71" i="18"/>
  <c r="AM72" i="18"/>
  <c r="V119" i="18" l="1"/>
  <c r="X119" i="18" s="1"/>
  <c r="S120" i="18"/>
  <c r="X118" i="18"/>
  <c r="L21" i="18"/>
  <c r="G301" i="20"/>
  <c r="I302" i="20"/>
  <c r="K302" i="20"/>
  <c r="J302" i="20"/>
  <c r="U135" i="18"/>
  <c r="V135" i="18" s="1"/>
  <c r="AL70" i="18"/>
  <c r="AM71" i="18"/>
  <c r="V120" i="18" l="1"/>
  <c r="S121" i="18"/>
  <c r="V121" i="18" s="1"/>
  <c r="W119" i="18"/>
  <c r="W120" i="18"/>
  <c r="X120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1" i="18" l="1"/>
  <c r="X121" i="18"/>
  <c r="G299" i="20"/>
  <c r="I300" i="20"/>
  <c r="K300" i="20"/>
  <c r="J300" i="20"/>
  <c r="AL68" i="18"/>
  <c r="AM69" i="18"/>
  <c r="N2" i="33"/>
  <c r="G298" i="20" l="1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G297" i="20" l="1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97" i="20" l="1"/>
  <c r="K297" i="20"/>
  <c r="J297" i="20"/>
  <c r="G296" i="20"/>
  <c r="AL65" i="18"/>
  <c r="AM66" i="18"/>
  <c r="E45" i="14"/>
  <c r="G295" i="20" l="1"/>
  <c r="K296" i="20"/>
  <c r="I296" i="20"/>
  <c r="J296" i="20"/>
  <c r="AL64" i="18"/>
  <c r="AM65" i="18"/>
  <c r="E44" i="14"/>
  <c r="G294" i="20" l="1"/>
  <c r="K295" i="20"/>
  <c r="J295" i="20"/>
  <c r="I295" i="20"/>
  <c r="AM64" i="18"/>
  <c r="AL63" i="18"/>
  <c r="E43" i="14"/>
  <c r="G43" i="14" s="1"/>
  <c r="G293" i="20" l="1"/>
  <c r="I294" i="20"/>
  <c r="J294" i="20"/>
  <c r="K294" i="20"/>
  <c r="AL62" i="18"/>
  <c r="AM63" i="18"/>
  <c r="E42" i="14"/>
  <c r="G42" i="14" s="1"/>
  <c r="G292" i="20" l="1"/>
  <c r="K293" i="20"/>
  <c r="J293" i="20"/>
  <c r="I293" i="20"/>
  <c r="AL61" i="18"/>
  <c r="AM62" i="18"/>
  <c r="E41" i="14"/>
  <c r="G41" i="14" s="1"/>
  <c r="J292" i="20" l="1"/>
  <c r="I292" i="20"/>
  <c r="G291" i="20"/>
  <c r="K292" i="20"/>
  <c r="AM61" i="18"/>
  <c r="AL60" i="18"/>
  <c r="E40" i="14"/>
  <c r="G40" i="14" s="1"/>
  <c r="G290" i="20" l="1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242" i="20" l="1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72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2" i="18" l="1"/>
  <c r="F24" i="18" s="1"/>
  <c r="G113" i="20"/>
  <c r="J114" i="20"/>
  <c r="I114" i="20"/>
  <c r="K114" i="20"/>
  <c r="L73" i="18"/>
  <c r="E33" i="13"/>
  <c r="G34" i="13"/>
  <c r="F108" i="15"/>
  <c r="C20" i="18"/>
  <c r="G20" i="14"/>
  <c r="G21" i="14"/>
  <c r="G112" i="20" l="1"/>
  <c r="K113" i="20"/>
  <c r="J113" i="20"/>
  <c r="I113" i="20"/>
  <c r="L7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4" i="18"/>
  <c r="U136" i="18"/>
  <c r="V136" i="18" s="1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<sst xmlns="http://schemas.openxmlformats.org/spreadsheetml/2006/main" count="10744" uniqueCount="4813">
  <si>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</si>
  <si>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</si>
  <si>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</si>
  <si>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</si>
  <si>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</si>
  <si>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</si>
  <si>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</si>
  <si>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</si>
  <si>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</si>
  <si>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</si>
  <si>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</si>
  <si>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</si>
  <si>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</si>
  <si>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</si>
  <si>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</si>
  <si>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</si>
  <si>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</si>
  <si>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</si>
  <si>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</si>
  <si>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</si>
  <si>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</si>
  <si>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</si>
  <si>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</si>
  <si>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</si>
  <si>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</si>
  <si>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</si>
  <si>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</si>
  <si>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</si>
  <si>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</si>
  <si>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</si>
  <si>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</si>
  <si>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</si>
  <si>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</si>
  <si>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</si>
  <si>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</si>
  <si>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</si>
  <si>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</si>
  <si>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</si>
  <si>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</si>
  <si>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</si>
  <si>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</si>
  <si>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</si>
  <si>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</si>
  <si>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</si>
  <si>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</si>
  <si>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</si>
  <si>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</si>
  <si>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</si>
  <si>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</si>
  <si>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</si>
  <si>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</si>
  <si>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</si>
  <si>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</si>
  <si>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</si>
  <si>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</si>
  <si>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</si>
  <si>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</si>
  <si>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</si>
  <si>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</si>
  <si>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</si>
  <si>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</si>
  <si>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</si>
  <si>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</si>
  <si>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</si>
  <si>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</si>
  <si>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</si>
  <si>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</si>
  <si>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</si>
  <si>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</si>
  <si>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</si>
  <si>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</si>
  <si>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</si>
  <si>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</si>
  <si>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</si>
  <si>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</si>
  <si>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</si>
  <si>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</si>
  <si>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</si>
  <si>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</si>
  <si>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</si>
  <si>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</si>
  <si>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</si>
  <si>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</si>
  <si>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</si>
  <si>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</si>
  <si>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</si>
  <si>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</si>
  <si>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</si>
  <si>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</si>
  <si>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</si>
  <si>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</si>
  <si>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</si>
  <si>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</si>
  <si>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</si>
  <si>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</si>
  <si>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</si>
  <si>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</si>
  <si>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</si>
  <si>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</si>
  <si>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</si>
  <si>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</si>
  <si>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</si>
  <si>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</si>
  <si>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</si>
  <si>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</si>
  <si>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</si>
  <si>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</si>
  <si>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</si>
  <si>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</si>
  <si>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</si>
  <si>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</si>
  <si>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</si>
  <si>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</si>
  <si>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</si>
  <si>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</si>
  <si>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</si>
  <si>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</si>
  <si>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</si>
  <si>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</si>
  <si>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</si>
  <si>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</si>
  <si>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</si>
  <si>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</si>
  <si>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</si>
  <si>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</si>
  <si>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</si>
  <si>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</si>
  <si>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</si>
  <si>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</si>
  <si>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</si>
  <si>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</si>
  <si>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</si>
  <si>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</si>
  <si>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</si>
  <si>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</si>
  <si>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</si>
  <si>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</si>
  <si>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</si>
  <si>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</si>
  <si>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</si>
  <si>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</si>
  <si>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</si>
  <si>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</si>
  <si>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</si>
  <si>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</si>
  <si>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</si>
  <si>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</si>
  <si>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</si>
  <si>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</si>
  <si>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</si>
  <si>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</si>
  <si>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</si>
  <si>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</si>
  <si>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</si>
  <si>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</si>
  <si>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</si>
  <si>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</si>
  <si>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</si>
  <si>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</si>
  <si>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</si>
  <si>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</si>
  <si>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</si>
  <si>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</si>
  <si>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</si>
  <si>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</si>
  <si>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</si>
  <si>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</si>
  <si>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</si>
  <si>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</si>
  <si>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</si>
  <si>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</si>
  <si>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</si>
  <si>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</si>
  <si>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</si>
  <si>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</si>
  <si>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</si>
  <si>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</si>
  <si>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</si>
  <si>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</si>
  <si>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</si>
  <si>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</si>
  <si>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</si>
  <si>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</si>
  <si>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</si>
  <si>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</si>
  <si>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</si>
  <si>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</si>
  <si>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</si>
  <si>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</si>
  <si>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</si>
  <si>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</si>
  <si>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</si>
  <si>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</si>
  <si>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</si>
  <si>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</si>
  <si>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</si>
  <si>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</si>
  <si>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</si>
  <si>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</si>
  <si>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</si>
  <si>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</si>
  <si>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</si>
  <si>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</si>
  <si>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</si>
  <si>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</si>
  <si>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</si>
  <si>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</si>
  <si>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</si>
  <si>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</si>
  <si>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</si>
  <si>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</si>
  <si>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</si>
  <si>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</si>
  <si>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</si>
  <si>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</si>
  <si>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</si>
  <si>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</si>
  <si>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</si>
  <si>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</si>
  <si>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</si>
  <si>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</si>
  <si>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</si>
  <si>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</si>
  <si>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</si>
  <si>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</si>
  <si>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</si>
  <si>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</si>
  <si>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</si>
  <si>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</si>
  <si>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</si>
  <si>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</si>
  <si>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</si>
  <si>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</si>
  <si>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</si>
  <si>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</si>
  <si>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</si>
  <si>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</si>
  <si>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</si>
  <si>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</si>
  <si>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</si>
  <si>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</si>
  <si>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</si>
  <si>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</si>
  <si>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</si>
  <si>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</si>
  <si>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</si>
  <si>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</si>
  <si>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</si>
  <si>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</si>
  <si>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</si>
  <si>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</si>
  <si>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</si>
  <si>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</si>
  <si>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</si>
  <si>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</si>
  <si>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</si>
  <si>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</si>
  <si>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</si>
  <si>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</si>
  <si>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</si>
  <si>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</si>
  <si>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</si>
  <si>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</si>
  <si>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</si>
  <si>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</si>
  <si>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</si>
  <si>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</si>
  <si>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</si>
  <si>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</si>
  <si>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</si>
  <si>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</si>
  <si>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</si>
  <si>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</si>
  <si>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</si>
  <si>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</si>
  <si>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</si>
  <si>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</si>
  <si>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</si>
  <si>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</si>
  <si>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</si>
  <si>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</si>
  <si>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</si>
  <si>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</si>
  <si>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</si>
  <si>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</si>
  <si>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</si>
  <si>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</si>
  <si>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</si>
  <si>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</si>
  <si>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</si>
  <si>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</si>
  <si>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</si>
  <si>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</si>
  <si>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</si>
  <si>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</si>
  <si>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</si>
  <si>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</si>
  <si>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</si>
  <si>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</si>
  <si>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</si>
  <si>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</si>
  <si>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</si>
  <si>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</si>
  <si>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</si>
  <si>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</si>
  <si>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</si>
  <si>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</si>
  <si>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</si>
  <si>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</si>
  <si>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</si>
  <si>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</si>
  <si>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</si>
  <si>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</si>
  <si>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</si>
  <si>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</si>
  <si>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</si>
  <si>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</si>
  <si>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</si>
  <si>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</si>
  <si>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</si>
  <si>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</si>
  <si>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</si>
  <si>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</si>
  <si>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</si>
  <si>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</si>
  <si>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</si>
  <si>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</si>
  <si>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</si>
  <si>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</si>
  <si>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</si>
  <si>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</si>
  <si>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</si>
  <si>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</si>
  <si>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</si>
  <si>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</si>
  <si>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</si>
  <si>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</si>
  <si>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</si>
  <si>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</si>
  <si>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</si>
  <si>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</si>
  <si>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</si>
  <si>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</si>
  <si>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</si>
  <si>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</si>
  <si>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</si>
  <si>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</si>
  <si>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</si>
  <si>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</si>
  <si>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</si>
  <si>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</si>
  <si>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</si>
  <si>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</si>
  <si>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</si>
  <si>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</si>
  <si>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</si>
  <si>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</si>
  <si>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</si>
  <si>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</si>
  <si>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</si>
  <si>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</si>
  <si>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</si>
  <si>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</si>
  <si>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</si>
  <si>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</si>
  <si>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</si>
  <si>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</si>
  <si>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</si>
  <si>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</si>
  <si>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</si>
  <si>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</si>
  <si>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</si>
  <si>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</si>
  <si>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</si>
  <si>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</si>
  <si>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</si>
  <si>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</si>
  <si>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</si>
  <si>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</si>
  <si>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</si>
  <si>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</si>
  <si>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</si>
  <si>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</si>
  <si>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</si>
  <si>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</si>
  <si>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</si>
  <si>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</si>
  <si>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</si>
  <si>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</si>
  <si>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</si>
  <si>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</si>
  <si>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</si>
  <si>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</si>
  <si>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</si>
  <si>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</si>
  <si>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</si>
  <si>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</si>
  <si>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</si>
  <si>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</si>
  <si>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</si>
  <si>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</si>
  <si>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</si>
  <si>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</si>
  <si>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</si>
  <si>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</si>
  <si>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</si>
  <si>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</si>
  <si>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</si>
  <si>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</si>
  <si>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</si>
  <si>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</si>
  <si>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</si>
  <si>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</si>
  <si>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</si>
  <si>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</si>
  <si>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</si>
  <si>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</si>
  <si>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</si>
  <si>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</si>
  <si>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</si>
  <si>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</si>
  <si>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</si>
  <si>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</si>
  <si>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</si>
  <si>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</si>
  <si>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</si>
  <si>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</si>
  <si>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</si>
  <si>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</si>
  <si>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</si>
  <si>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</si>
  <si>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</si>
  <si>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</si>
  <si>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</si>
  <si>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</si>
  <si>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</si>
  <si>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</si>
  <si>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</si>
  <si>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</si>
  <si>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</si>
  <si>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</si>
  <si>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</si>
  <si>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</si>
  <si>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</si>
  <si>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</si>
  <si>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</si>
  <si>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</si>
  <si>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</si>
  <si>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</si>
  <si>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</si>
  <si>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</si>
  <si>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</si>
  <si>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</si>
  <si>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</si>
  <si>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</si>
  <si>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</si>
  <si>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</si>
  <si>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</si>
  <si>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</si>
  <si>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</si>
  <si>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</si>
  <si>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</si>
  <si>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</si>
  <si>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</si>
  <si>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</si>
  <si>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</si>
  <si>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</si>
  <si>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</si>
  <si>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</si>
  <si>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</si>
  <si>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</si>
  <si>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</si>
  <si>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</si>
  <si>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</si>
  <si>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</si>
  <si>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</si>
  <si>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</si>
  <si>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</si>
  <si>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</si>
  <si>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</si>
  <si>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</si>
  <si>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</si>
  <si>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</si>
  <si>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</si>
  <si>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</si>
  <si>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</si>
  <si>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</si>
  <si>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</si>
  <si>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</si>
  <si>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</si>
  <si>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</si>
  <si>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</si>
  <si>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</si>
  <si>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</si>
  <si>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</si>
  <si>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</si>
  <si>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</si>
  <si>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</si>
  <si>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</si>
  <si>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</si>
  <si>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</si>
  <si>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</si>
  <si>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</si>
  <si>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</si>
  <si>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</si>
  <si>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</si>
  <si>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</si>
  <si>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</si>
  <si>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</si>
  <si>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</si>
  <si>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</si>
  <si>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</si>
  <si>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</si>
  <si>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</si>
  <si>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</si>
  <si>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</si>
  <si>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</si>
  <si>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</si>
  <si>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</si>
  <si>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</si>
  <si>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</si>
  <si>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</si>
  <si>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</si>
  <si>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</si>
  <si>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</si>
  <si>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</si>
  <si>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</si>
  <si>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</si>
  <si>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</si>
  <si>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</si>
  <si>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</si>
  <si>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</si>
  <si>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</si>
  <si>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</si>
  <si>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</si>
  <si>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</si>
  <si>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</si>
  <si>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</si>
  <si>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</si>
  <si>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</si>
  <si>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</si>
  <si>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</si>
  <si>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</si>
  <si>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</si>
  <si>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</si>
  <si>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</si>
  <si>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</si>
  <si>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</si>
  <si>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</si>
  <si>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</si>
  <si>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</si>
  <si>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</si>
  <si>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</si>
  <si>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</si>
  <si>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</si>
  <si>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</si>
  <si>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</si>
  <si>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</si>
  <si>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</si>
  <si>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</si>
  <si>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</si>
  <si>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</si>
  <si>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</si>
  <si>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</si>
  <si>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</si>
  <si>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</si>
  <si>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</si>
  <si>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</si>
  <si>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</si>
  <si>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</si>
  <si>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</si>
  <si>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</si>
  <si>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</si>
  <si>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</si>
  <si>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</si>
  <si>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</si>
  <si>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</si>
  <si>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</si>
  <si>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</si>
  <si>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</si>
  <si>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</si>
  <si>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</si>
  <si>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</si>
  <si>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</si>
  <si>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</si>
  <si>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</si>
  <si>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</si>
  <si>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</si>
  <si>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</si>
  <si>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</si>
  <si>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</si>
  <si>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</si>
  <si>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</si>
  <si>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</si>
  <si>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</si>
  <si>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</si>
  <si>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</si>
  <si>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</si>
  <si>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</si>
  <si>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</si>
  <si>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</si>
  <si>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</si>
  <si>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</si>
  <si>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</si>
  <si>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</si>
  <si>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</si>
  <si>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</si>
  <si>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</si>
  <si>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</si>
  <si>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</si>
  <si>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</si>
  <si>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</si>
  <si>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</si>
  <si>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</si>
  <si>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</si>
  <si>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</si>
  <si>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</si>
  <si>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</si>
  <si>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</si>
  <si>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</si>
  <si>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</si>
  <si>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</si>
  <si>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</si>
  <si>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</si>
  <si>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</si>
  <si>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</si>
  <si>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</si>
  <si>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</si>
  <si>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</si>
  <si>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</si>
  <si>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</si>
  <si>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</si>
  <si>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</si>
  <si>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</si>
  <si>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</si>
  <si>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</si>
  <si>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</si>
  <si>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</si>
  <si>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</si>
  <si>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</si>
  <si>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</si>
  <si>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</si>
  <si>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</si>
  <si>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</si>
  <si>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</si>
  <si>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</si>
  <si>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</si>
  <si>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</si>
  <si>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</si>
  <si>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</si>
  <si>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</si>
  <si>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</si>
  <si>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</si>
  <si>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</si>
  <si>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</si>
  <si>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</si>
  <si>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</si>
  <si>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</si>
  <si>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</si>
  <si>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</si>
  <si>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</si>
  <si>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</si>
  <si>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</si>
  <si>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</si>
  <si>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</si>
  <si>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</si>
  <si>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</si>
  <si>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</si>
  <si>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</si>
  <si>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</si>
  <si>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</si>
  <si>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</si>
  <si>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</si>
  <si>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</si>
  <si>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</si>
  <si>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</si>
  <si>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</si>
  <si>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</si>
  <si>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</si>
  <si>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</si>
  <si>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</si>
  <si>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</si>
  <si>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</si>
  <si>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</si>
  <si>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</si>
  <si>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</si>
  <si>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</si>
  <si>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</si>
  <si>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</si>
  <si>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</si>
  <si>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</si>
  <si>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</si>
  <si>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</si>
  <si>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</si>
  <si>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</si>
  <si>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</si>
  <si>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</si>
  <si>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</si>
  <si>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</si>
  <si>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</si>
  <si>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</si>
  <si>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</si>
  <si>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</si>
  <si>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</si>
  <si>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</si>
  <si>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</si>
  <si>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</si>
  <si>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</si>
  <si>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</si>
  <si>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</si>
  <si>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</si>
  <si>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</si>
  <si>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</si>
  <si>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</si>
  <si>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</si>
  <si>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</si>
  <si>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</si>
  <si>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</si>
  <si>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</si>
  <si>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</si>
  <si>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</si>
  <si>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</si>
  <si>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</si>
  <si>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</si>
  <si>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</si>
  <si>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</si>
  <si>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</si>
  <si>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</si>
  <si>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</si>
  <si>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</si>
  <si>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</si>
  <si>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</si>
  <si>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</si>
  <si>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</si>
  <si>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</si>
  <si>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</si>
  <si>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</si>
  <si>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</si>
  <si>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</si>
  <si>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</si>
  <si>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</si>
  <si>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</si>
  <si>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</si>
  <si>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</si>
  <si>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</si>
  <si>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</si>
  <si>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</si>
  <si>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</si>
  <si>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</si>
  <si>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</si>
  <si>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</si>
  <si>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</si>
  <si>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</si>
  <si>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</si>
  <si>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</si>
  <si>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</si>
  <si>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</si>
  <si>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</si>
  <si>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</si>
  <si>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</si>
  <si>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</si>
  <si>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</si>
  <si>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</si>
  <si>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</si>
  <si>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</si>
  <si>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</si>
  <si>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</si>
  <si>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</si>
  <si>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</si>
  <si>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</si>
  <si>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</si>
  <si>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</si>
  <si>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</si>
  <si>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</si>
  <si>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</si>
  <si>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</si>
  <si>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</si>
  <si>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</si>
  <si>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</si>
  <si>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</si>
  <si>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</si>
  <si>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</si>
  <si>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</si>
  <si>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</si>
  <si>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</si>
  <si>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</si>
  <si>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</si>
  <si>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</si>
  <si>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</si>
  <si>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</si>
  <si>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</si>
  <si>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</si>
  <si>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</si>
  <si>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</si>
  <si>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</si>
  <si>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</si>
  <si>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</si>
  <si>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</si>
  <si>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</si>
  <si>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</si>
  <si>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</si>
  <si>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</si>
  <si>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</si>
  <si>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</si>
  <si>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</si>
  <si>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</si>
  <si>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</si>
  <si>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</si>
  <si>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</si>
  <si>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</si>
  <si>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</si>
  <si>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</si>
  <si>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</si>
  <si>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</si>
  <si>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</si>
  <si>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</si>
  <si>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</si>
  <si>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</si>
  <si>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</si>
  <si>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</si>
  <si>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</si>
  <si>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</si>
  <si>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</si>
  <si>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</si>
  <si>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</si>
  <si>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</si>
  <si>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</si>
  <si>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</si>
  <si>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</si>
  <si>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</si>
  <si>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</si>
  <si>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</si>
  <si>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</si>
  <si>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</si>
  <si>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</si>
  <si>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</si>
  <si>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</si>
  <si>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</si>
  <si>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</si>
  <si>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</si>
  <si>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</si>
  <si>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</si>
  <si>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</si>
  <si>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</si>
  <si>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</si>
  <si>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</si>
  <si>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</si>
  <si>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</si>
  <si>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</si>
  <si>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</si>
  <si>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</si>
  <si>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</si>
  <si>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</si>
  <si>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</si>
  <si>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</si>
  <si>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</si>
  <si>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</si>
  <si>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</si>
  <si>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</si>
  <si>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</si>
  <si>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</si>
  <si>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</si>
  <si>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</si>
  <si>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</si>
  <si>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</si>
  <si>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</si>
  <si>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</si>
  <si>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</si>
  <si>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</si>
  <si>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</si>
  <si>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</si>
  <si>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</si>
  <si>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</si>
  <si>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</si>
  <si>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</si>
  <si>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</si>
  <si>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</si>
  <si>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</si>
  <si>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</si>
  <si>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</si>
  <si>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</si>
  <si>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</si>
  <si>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</si>
  <si>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</si>
  <si>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</si>
  <si>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</si>
  <si>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</si>
  <si>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</si>
  <si>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</si>
  <si>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</si>
  <si>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</si>
  <si>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</si>
  <si>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</si>
  <si>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</si>
  <si>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</si>
  <si>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</si>
  <si>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</si>
  <si>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</si>
  <si>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</si>
  <si>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</si>
  <si>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</si>
  <si>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</si>
  <si>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</si>
  <si>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</si>
  <si>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</si>
  <si>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</si>
  <si>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</si>
  <si>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</si>
  <si>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</si>
  <si>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</si>
  <si>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</si>
  <si>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</si>
  <si>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</si>
  <si>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</si>
  <si>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</si>
  <si>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</si>
  <si>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</si>
  <si>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</si>
  <si>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</si>
  <si>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</si>
  <si>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</si>
  <si>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</si>
  <si>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</si>
  <si>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</si>
  <si>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</si>
  <si>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</si>
  <si>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</si>
  <si>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</si>
  <si>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</si>
  <si>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</si>
  <si>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</si>
  <si>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</si>
  <si>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</si>
  <si>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</si>
  <si>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</si>
  <si>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</si>
  <si>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</si>
  <si>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</si>
  <si>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</si>
  <si>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</si>
  <si>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</si>
  <si>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</si>
  <si>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</si>
  <si>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</si>
  <si>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</si>
  <si>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</si>
  <si>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</si>
  <si>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</si>
  <si>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</si>
  <si>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</si>
  <si>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</si>
  <si>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</si>
  <si>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</si>
  <si>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</si>
  <si>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</si>
  <si>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</si>
  <si>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</si>
  <si>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</si>
  <si>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</si>
  <si>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</si>
  <si>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</si>
  <si>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</si>
  <si>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</si>
  <si>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</si>
  <si>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</si>
  <si>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</si>
  <si>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</si>
  <si>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</si>
  <si>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</si>
  <si>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</si>
  <si>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</si>
  <si>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</si>
  <si>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</si>
  <si>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</si>
  <si>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</si>
  <si>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</si>
  <si>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</si>
  <si>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</si>
  <si>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</si>
  <si>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</si>
  <si>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</si>
  <si>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</si>
  <si>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</si>
  <si>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</si>
  <si>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</si>
  <si>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</si>
  <si>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</si>
  <si>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</si>
  <si>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</si>
  <si>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</si>
  <si>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</si>
  <si>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</si>
  <si>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</si>
  <si>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</si>
  <si>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</si>
  <si>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</si>
  <si>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</si>
  <si>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</si>
  <si>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</si>
  <si>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</si>
  <si>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</si>
  <si>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</si>
  <si>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</si>
  <si>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</si>
  <si>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</si>
  <si>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</si>
  <si>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</si>
  <si>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</si>
  <si>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</si>
  <si>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</si>
  <si>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</si>
  <si>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</si>
  <si>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</si>
  <si>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</si>
  <si>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</si>
  <si>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</si>
  <si>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</si>
  <si>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</si>
  <si>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</si>
  <si>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</si>
  <si>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</si>
  <si>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</si>
  <si>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</si>
  <si>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</si>
  <si>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</si>
  <si>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</si>
  <si>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</si>
  <si>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</si>
  <si>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</si>
  <si>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</si>
  <si>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</si>
  <si>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</si>
  <si>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</si>
  <si>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</si>
  <si>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</si>
  <si>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</si>
  <si>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</si>
  <si>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</si>
  <si>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</si>
  <si>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</si>
  <si>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</si>
  <si>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</si>
  <si>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</si>
  <si>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</si>
  <si>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</si>
  <si>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</si>
  <si>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</si>
  <si>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</si>
  <si>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</si>
  <si>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</si>
  <si>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</si>
  <si>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</si>
  <si>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</si>
  <si>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</si>
  <si>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</si>
  <si>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</si>
  <si>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</si>
  <si>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</si>
  <si>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</si>
  <si>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</si>
  <si>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</si>
  <si>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</si>
  <si>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</si>
  <si>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</si>
  <si>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</si>
  <si>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</si>
  <si>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</si>
  <si>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</si>
  <si>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</si>
  <si>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</si>
  <si>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</si>
  <si>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</si>
  <si>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</si>
  <si>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</si>
  <si>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</si>
  <si>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</si>
  <si>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</si>
  <si>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</si>
  <si>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</si>
  <si>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</si>
  <si>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</si>
  <si>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</si>
  <si>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</si>
  <si>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</si>
  <si>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</si>
  <si>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</si>
  <si>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</si>
  <si>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</si>
  <si>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</si>
  <si>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</si>
  <si>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</si>
  <si>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</si>
  <si>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</si>
  <si>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</si>
  <si>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</si>
  <si>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</si>
  <si>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</si>
  <si>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</si>
  <si>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</si>
  <si>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</si>
  <si>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</si>
  <si>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</si>
  <si>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</si>
  <si>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</si>
  <si>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</si>
  <si>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</si>
  <si>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</si>
  <si>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</si>
  <si>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</si>
  <si>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</si>
  <si>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</si>
  <si>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</si>
  <si>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</si>
  <si>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</si>
  <si>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</si>
  <si>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</si>
  <si>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</si>
  <si>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</si>
  <si>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</si>
  <si>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</si>
  <si>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</si>
  <si>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</si>
  <si>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</si>
  <si>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</si>
  <si>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</si>
  <si>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</si>
  <si>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</si>
  <si>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</si>
  <si>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</si>
  <si>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</si>
  <si>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</si>
  <si>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</si>
  <si>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</si>
  <si>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</si>
  <si>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</si>
  <si>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</si>
  <si>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</si>
  <si>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</si>
  <si>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</si>
  <si>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</si>
  <si>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</si>
  <si>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</si>
  <si>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</si>
  <si>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</si>
  <si>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</si>
  <si>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</si>
  <si>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</si>
  <si>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</si>
  <si>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</si>
  <si>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</si>
  <si>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</si>
  <si>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</si>
  <si>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</si>
  <si>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</si>
  <si>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</si>
  <si>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</si>
  <si>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</si>
  <si>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</si>
  <si>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</si>
  <si>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</si>
  <si>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</si>
  <si>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</si>
  <si>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</si>
  <si>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</si>
  <si>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</si>
  <si>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</si>
  <si>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</si>
  <si>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</si>
  <si>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</si>
  <si>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</si>
  <si>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</si>
  <si>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</si>
  <si>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</si>
  <si>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</si>
  <si>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</si>
  <si>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</si>
  <si>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</si>
  <si>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</si>
  <si>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</si>
  <si>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</si>
  <si>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</si>
  <si>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</si>
  <si>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</si>
  <si>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</si>
  <si>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</si>
  <si>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</si>
  <si>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</si>
  <si>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</si>
  <si>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</si>
  <si>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</si>
  <si>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</si>
  <si>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</si>
  <si>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</si>
  <si>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</si>
  <si>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</si>
  <si>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</si>
  <si>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</si>
  <si>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</si>
  <si>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</si>
  <si>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</si>
  <si>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</si>
  <si>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</si>
  <si>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</si>
  <si>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</si>
  <si>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</si>
  <si>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</si>
  <si>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</si>
  <si>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</si>
  <si>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</si>
  <si>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</si>
  <si>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</si>
  <si>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</si>
  <si>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</si>
  <si>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</si>
  <si>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</si>
  <si>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</si>
  <si>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</si>
  <si>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</si>
  <si>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</si>
  <si>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</si>
  <si>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</si>
  <si>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</si>
  <si>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</si>
  <si>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</si>
  <si>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</si>
  <si>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</si>
  <si>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</si>
  <si>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</si>
  <si>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</si>
  <si>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</si>
  <si>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</si>
  <si>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</si>
  <si>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</si>
  <si>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</si>
  <si>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</si>
  <si>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</si>
  <si>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</si>
  <si>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</si>
  <si>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</si>
  <si>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</si>
  <si>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</si>
  <si>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</si>
  <si>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</si>
  <si>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</si>
  <si>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</si>
  <si>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</si>
  <si>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</si>
  <si>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</si>
  <si>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</si>
  <si>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</si>
  <si>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</si>
  <si>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</si>
  <si>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</si>
  <si>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</si>
  <si>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</si>
  <si>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</si>
  <si>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</si>
  <si>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</si>
  <si>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</si>
  <si>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</si>
  <si>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</si>
  <si>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</si>
  <si>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</si>
  <si>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</si>
  <si>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</si>
  <si>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</si>
  <si>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</si>
  <si>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</si>
  <si>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</si>
  <si>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</si>
  <si>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</si>
  <si>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</si>
  <si>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</si>
  <si>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</si>
  <si>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</si>
  <si>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</si>
  <si>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</si>
  <si>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</si>
  <si>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</si>
  <si>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</si>
  <si>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</si>
  <si>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</si>
  <si>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</si>
  <si>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</si>
  <si>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</si>
  <si>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</si>
  <si>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</si>
  <si>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</si>
  <si>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</si>
  <si>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</si>
  <si>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</si>
  <si>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</si>
  <si>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</si>
  <si>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</si>
  <si>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</si>
  <si>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</si>
  <si>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</si>
  <si>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</si>
  <si>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</si>
  <si>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</si>
  <si>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</si>
  <si>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</si>
  <si>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</si>
  <si>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</si>
  <si>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</si>
  <si>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</si>
  <si>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</si>
  <si>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</si>
  <si>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</si>
  <si>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</si>
  <si>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</si>
  <si>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</si>
  <si>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</si>
  <si>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</si>
  <si>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</si>
  <si>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</si>
  <si>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</si>
  <si>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</si>
  <si>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</si>
  <si>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</si>
  <si>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</si>
  <si>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</si>
  <si>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</si>
  <si>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</si>
  <si>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</si>
  <si>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</si>
  <si>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</si>
  <si>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</si>
  <si>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</si>
  <si>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</si>
  <si>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</si>
  <si>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</si>
  <si>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</si>
  <si>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</si>
  <si>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</si>
  <si>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</si>
  <si>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</si>
  <si>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</si>
  <si>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</si>
  <si>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</si>
  <si>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</si>
  <si>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</si>
  <si>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</si>
  <si>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</si>
  <si>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</si>
  <si>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</si>
  <si>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</si>
  <si>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</si>
  <si>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</si>
  <si>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</si>
  <si>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</si>
  <si>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</si>
  <si>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</si>
  <si>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</si>
  <si>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</si>
  <si>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</si>
  <si>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</si>
  <si>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</si>
  <si>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</si>
  <si>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</si>
  <si>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</si>
  <si>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</si>
  <si>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</si>
  <si>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</si>
  <si>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</si>
  <si>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</si>
  <si>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</si>
  <si>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</si>
  <si>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</si>
  <si>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</si>
  <si>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</si>
  <si>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</si>
  <si>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</si>
  <si>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</si>
  <si>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</si>
  <si>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</si>
  <si>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</si>
  <si>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</si>
  <si>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</si>
  <si>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</si>
  <si>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</si>
  <si>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</si>
  <si>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</si>
  <si>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</si>
  <si>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</si>
  <si>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</si>
  <si>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</si>
  <si>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</si>
  <si>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</si>
  <si>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</si>
  <si>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</si>
  <si>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</si>
  <si>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</si>
  <si>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</si>
  <si>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</si>
  <si>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</si>
  <si>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</si>
  <si>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</si>
  <si>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</si>
  <si>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</si>
  <si>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</si>
  <si>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</si>
  <si>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</si>
  <si>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</si>
  <si>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</si>
  <si>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</si>
  <si>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</si>
  <si>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</si>
  <si>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</si>
  <si>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</si>
  <si>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</si>
  <si>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</si>
  <si>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</si>
  <si>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</si>
  <si>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</si>
  <si>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</si>
  <si>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</si>
  <si>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</si>
  <si>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</si>
  <si>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</si>
  <si>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</si>
  <si>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</si>
  <si>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</si>
  <si>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</si>
  <si>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</si>
  <si>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</si>
  <si>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</si>
  <si>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</si>
  <si>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</si>
  <si>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</si>
  <si>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</si>
  <si>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</si>
  <si>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</si>
  <si>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</si>
  <si>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</si>
  <si>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</si>
  <si>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</si>
  <si>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</si>
  <si>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</si>
  <si>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</si>
  <si>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</si>
  <si>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</si>
  <si>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</si>
  <si>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</si>
  <si>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</si>
  <si>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</si>
  <si>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</si>
  <si>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</si>
  <si>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</si>
  <si>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</si>
  <si>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</si>
  <si>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</si>
  <si>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</si>
  <si>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</si>
  <si>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</si>
  <si>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</si>
  <si>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</si>
  <si>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</si>
  <si>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</si>
  <si>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</si>
  <si>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</si>
  <si>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</si>
  <si>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</si>
  <si>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</si>
  <si>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</si>
  <si>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</si>
  <si>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</si>
  <si>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</si>
  <si>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</si>
  <si>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</si>
  <si>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</si>
  <si>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</si>
  <si>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</si>
  <si>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</si>
  <si>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</si>
  <si>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</si>
  <si>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</si>
  <si>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</si>
  <si>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</si>
  <si>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</si>
  <si>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</si>
  <si>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</si>
  <si>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</si>
  <si>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</si>
  <si>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</si>
  <si>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</si>
  <si>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</si>
  <si>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</si>
  <si>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</si>
  <si>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</si>
  <si>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</si>
  <si>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</si>
  <si>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</si>
  <si>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</si>
  <si>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</si>
  <si>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</si>
  <si>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</si>
  <si>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</si>
  <si>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</si>
  <si>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</si>
  <si>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</si>
  <si>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</si>
  <si>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</si>
  <si>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</si>
  <si>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</si>
  <si>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</si>
  <si>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</si>
  <si>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</si>
  <si>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</si>
  <si>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</si>
  <si>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</si>
  <si>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</si>
  <si>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</si>
  <si>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</si>
  <si>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</si>
  <si>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</si>
  <si>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</si>
  <si>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</si>
  <si>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</si>
  <si>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</si>
  <si>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</si>
  <si>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</si>
  <si>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</si>
  <si>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</si>
  <si>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</si>
  <si>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</si>
  <si>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</si>
  <si>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</si>
  <si>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</si>
  <si>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</si>
  <si>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</si>
  <si>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</si>
  <si>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</si>
  <si>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</si>
  <si>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</si>
  <si>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</si>
  <si>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</si>
  <si>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</si>
  <si>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</si>
  <si>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</si>
  <si>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</si>
  <si>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</si>
  <si>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</si>
  <si>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</si>
  <si>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</si>
  <si>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</si>
  <si>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</si>
  <si>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</si>
  <si>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</si>
  <si>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</si>
  <si>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</si>
  <si>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</si>
  <si>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</si>
  <si>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</si>
  <si>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</si>
  <si>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</si>
  <si>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</si>
  <si>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</si>
  <si>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</si>
  <si>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</si>
  <si>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</si>
  <si>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</si>
  <si>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</si>
  <si>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</si>
  <si>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</si>
  <si>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</si>
  <si>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</si>
  <si>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</si>
  <si>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</si>
  <si>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</si>
  <si>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</si>
  <si>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</si>
  <si>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</si>
  <si>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</si>
  <si>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</si>
  <si>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</si>
  <si>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</si>
  <si>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</si>
  <si>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</si>
  <si>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</si>
  <si>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</si>
  <si>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</si>
  <si>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</si>
  <si>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</si>
  <si>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</si>
  <si>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</si>
  <si>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</si>
  <si>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</si>
  <si>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</si>
  <si>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</si>
  <si>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</si>
  <si>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</si>
  <si>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</si>
  <si>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</si>
  <si>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</si>
  <si>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</si>
  <si>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</si>
  <si>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</si>
  <si>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</si>
  <si>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</si>
  <si>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</si>
  <si>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</si>
  <si>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</si>
  <si>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</si>
  <si>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</si>
  <si>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</si>
  <si>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</si>
  <si>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</si>
  <si>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</si>
  <si>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</si>
  <si>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</si>
  <si>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</si>
  <si>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</si>
  <si>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</si>
  <si>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</si>
  <si>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</si>
  <si>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</si>
  <si>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</si>
  <si>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</si>
  <si>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</si>
  <si>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</si>
  <si>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</si>
  <si>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</si>
  <si>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</si>
  <si>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</si>
  <si>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</si>
  <si>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</si>
  <si>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</si>
  <si>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</si>
  <si>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</si>
  <si>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</si>
  <si>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</si>
  <si>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</si>
  <si>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</si>
  <si>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</si>
  <si>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</si>
  <si>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</si>
  <si>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</si>
  <si>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</si>
  <si>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</si>
  <si>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</si>
  <si>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</si>
  <si>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</si>
  <si>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</si>
  <si>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</si>
  <si>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</si>
  <si>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</si>
  <si>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</si>
  <si>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</si>
  <si>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</si>
  <si>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</si>
  <si>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</si>
  <si>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</si>
  <si>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</si>
  <si>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</si>
  <si>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</si>
  <si>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</si>
  <si>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</si>
  <si>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</si>
  <si>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</si>
  <si>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</si>
  <si>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</si>
  <si>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</si>
  <si>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</si>
  <si>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</si>
  <si>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</si>
  <si>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</si>
  <si>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</si>
  <si>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</si>
  <si>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</si>
  <si>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</si>
  <si>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</si>
  <si>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</si>
  <si>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</si>
  <si>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</si>
  <si>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</si>
  <si>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</si>
  <si>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</si>
  <si>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</si>
  <si>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</si>
  <si>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</si>
  <si>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</si>
  <si>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</si>
  <si>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</si>
  <si>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</si>
  <si>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</si>
  <si>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</si>
  <si>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</si>
  <si>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</si>
  <si>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</si>
  <si>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</si>
  <si>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</si>
  <si>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</si>
  <si>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</si>
  <si>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</si>
  <si>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</si>
  <si>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</si>
  <si>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</si>
  <si>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</si>
  <si>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</si>
  <si>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</si>
  <si>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</si>
  <si>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</si>
  <si>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</si>
  <si>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</si>
  <si>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</si>
  <si>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</si>
  <si>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</si>
  <si>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</si>
  <si>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</si>
  <si>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</si>
  <si>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</si>
  <si>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</si>
  <si>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</si>
  <si>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</si>
  <si>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</si>
  <si>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</si>
  <si>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</si>
  <si>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</si>
  <si>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</si>
  <si>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</si>
  <si>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</si>
  <si>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</si>
  <si>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</si>
  <si>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</si>
  <si>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</si>
  <si>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</si>
  <si>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</si>
  <si>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</si>
  <si>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</si>
  <si>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</si>
  <si>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</si>
  <si>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</si>
  <si>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</si>
  <si>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</si>
  <si>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</si>
  <si>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</si>
  <si>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</si>
  <si>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</si>
  <si>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</si>
  <si>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</si>
  <si>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</si>
  <si>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</si>
  <si>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</si>
  <si>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</si>
  <si>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</si>
  <si>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</si>
  <si>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</si>
  <si>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</si>
  <si>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</si>
  <si>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</si>
  <si>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</si>
  <si>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</si>
  <si>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</si>
  <si>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</si>
  <si>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</si>
  <si>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</si>
  <si>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</si>
  <si>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</si>
  <si>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</si>
  <si>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</si>
  <si>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</si>
  <si>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</si>
  <si>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</si>
  <si>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</si>
  <si>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</si>
  <si>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</si>
  <si>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</si>
  <si>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</si>
  <si>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</si>
  <si>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</si>
  <si>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</si>
  <si>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</si>
  <si>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</si>
  <si>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</si>
  <si>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</si>
  <si>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</si>
  <si>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</si>
  <si>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</si>
  <si>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</si>
  <si>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</si>
  <si>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</si>
  <si>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</si>
  <si>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</si>
  <si>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</si>
  <si>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</si>
  <si>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</si>
  <si>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</si>
  <si>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</si>
  <si>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</si>
  <si>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</si>
  <si>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</si>
  <si>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</si>
  <si>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</si>
  <si>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</si>
  <si>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</si>
  <si>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</si>
  <si>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</si>
  <si>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</si>
  <si>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</si>
  <si>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</si>
  <si>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</si>
  <si>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</si>
  <si>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</si>
  <si>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</si>
  <si>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</si>
  <si>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</si>
  <si>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</si>
  <si>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</si>
  <si>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</si>
  <si>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</si>
  <si>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</si>
  <si>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</si>
  <si>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</si>
  <si>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</si>
  <si>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</si>
  <si>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</si>
  <si>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</si>
  <si>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</si>
  <si>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</si>
  <si>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</si>
  <si>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</si>
  <si>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</si>
  <si>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</si>
  <si>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</si>
  <si>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</si>
  <si>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</si>
  <si>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</si>
  <si>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</si>
  <si>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</si>
  <si>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</si>
  <si>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</si>
  <si>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</si>
  <si>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</si>
  <si>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</si>
  <si>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</si>
  <si>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</si>
  <si>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</si>
  <si>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</si>
  <si>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</si>
  <si>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</si>
  <si>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</si>
  <si>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</si>
  <si>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</si>
  <si>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</si>
  <si>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</si>
  <si>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</si>
  <si>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</si>
  <si>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</si>
  <si>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</si>
  <si>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</si>
  <si>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</si>
  <si>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</si>
  <si>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</si>
  <si>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</si>
  <si>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</si>
  <si>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</si>
  <si>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</si>
  <si>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</si>
  <si>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</si>
  <si>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</si>
  <si>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</si>
  <si>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</si>
  <si>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</si>
  <si>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</si>
  <si>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</si>
  <si>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</si>
  <si>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</si>
  <si>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</si>
  <si>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</si>
  <si>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</si>
  <si>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</si>
  <si>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</si>
  <si>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</si>
  <si>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</si>
  <si>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</si>
  <si>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</si>
  <si>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</si>
  <si>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</si>
  <si>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</si>
  <si>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</si>
  <si>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</si>
  <si>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</si>
  <si>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</si>
  <si>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</si>
  <si>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</si>
  <si>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</si>
  <si>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</si>
  <si>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</si>
  <si>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</si>
  <si>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</si>
  <si>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</si>
  <si>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</si>
  <si>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</si>
  <si>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</si>
  <si>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</si>
  <si>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</si>
  <si>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</si>
  <si>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</si>
  <si>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</si>
  <si>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</si>
  <si>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</si>
  <si>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</si>
  <si>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</si>
  <si>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</si>
  <si>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</si>
  <si>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</si>
  <si>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</si>
  <si>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</si>
  <si>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</si>
  <si>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</si>
  <si>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</si>
  <si>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</si>
  <si>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</si>
  <si>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</si>
  <si>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</si>
  <si>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</si>
  <si>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</si>
  <si>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</si>
  <si>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</si>
  <si>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</si>
  <si>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</si>
  <si>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</si>
  <si>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</si>
  <si>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</si>
  <si>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</si>
  <si>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</si>
  <si>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</si>
  <si>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</si>
  <si>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</si>
  <si>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</si>
  <si>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</si>
  <si>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</si>
  <si>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</si>
  <si>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</si>
  <si>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</si>
  <si>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</si>
  <si>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</si>
  <si>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</si>
  <si>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</si>
  <si>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</si>
  <si>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</si>
  <si>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</si>
  <si>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</si>
  <si>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</si>
  <si>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</si>
  <si>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</si>
  <si>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</si>
  <si>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</si>
  <si>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</si>
  <si>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</si>
  <si>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</si>
  <si>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</si>
  <si>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</si>
  <si>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</si>
  <si>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</si>
  <si>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</si>
  <si>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</si>
  <si>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</si>
  <si>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</si>
  <si>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</si>
  <si>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</si>
  <si>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</si>
  <si>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</si>
  <si>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</si>
  <si>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</si>
  <si>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</si>
  <si>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</si>
  <si>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</si>
  <si>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</si>
  <si>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</si>
  <si>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</si>
  <si>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</si>
  <si>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</si>
  <si>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</si>
  <si>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</si>
  <si>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</si>
  <si>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</si>
  <si>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</si>
  <si>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</si>
  <si>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</si>
  <si>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</si>
  <si>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</si>
  <si>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</si>
  <si>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</si>
  <si>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</si>
  <si>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</si>
  <si>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</si>
  <si>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</si>
  <si>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</si>
  <si>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</si>
  <si>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</si>
  <si>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</si>
  <si>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</si>
  <si>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</si>
  <si>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</si>
  <si>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</si>
  <si>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</si>
  <si>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</si>
  <si>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</si>
  <si>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</si>
  <si>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</si>
  <si>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</si>
  <si>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</si>
  <si>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</si>
  <si>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</si>
  <si>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</si>
  <si>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</si>
  <si>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</si>
  <si>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</si>
  <si>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</si>
  <si>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</si>
  <si>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</si>
  <si>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</si>
  <si>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</si>
  <si>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</si>
  <si>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</si>
  <si>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</si>
  <si>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</si>
  <si>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</si>
  <si>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</si>
  <si>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</si>
  <si>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</si>
  <si>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</si>
  <si>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</si>
  <si>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</si>
  <si>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</si>
  <si>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</si>
  <si>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</si>
  <si>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</si>
  <si>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</si>
  <si>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</si>
  <si>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</si>
  <si>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</si>
  <si>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</si>
  <si>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</si>
  <si>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</si>
  <si>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</si>
  <si>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</si>
  <si>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</si>
  <si>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</si>
  <si>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</si>
  <si>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</si>
  <si>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</si>
  <si>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</si>
  <si>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</si>
  <si>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</si>
  <si>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</si>
  <si>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</si>
  <si>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</si>
  <si>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</si>
  <si>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</si>
  <si>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</si>
  <si>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</si>
  <si>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</si>
  <si>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</si>
  <si>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</si>
  <si>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</si>
  <si>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</si>
  <si>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</si>
  <si>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</si>
  <si>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</si>
  <si>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</si>
  <si>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</si>
  <si>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</si>
  <si>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</si>
  <si>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</si>
  <si>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</si>
  <si>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</si>
  <si>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</si>
  <si>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</si>
  <si>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</si>
  <si>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</si>
  <si>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</si>
  <si>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</si>
  <si>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</si>
  <si>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</si>
  <si>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</si>
  <si>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</si>
  <si>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</si>
  <si>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</si>
  <si>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</si>
  <si>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</si>
  <si>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</si>
  <si>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</si>
  <si>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</si>
  <si>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</si>
  <si>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</si>
  <si>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</si>
  <si>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</si>
  <si>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</si>
  <si>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</si>
  <si>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</si>
  <si>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</si>
  <si>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</si>
  <si>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</si>
  <si>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</si>
  <si>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</si>
  <si>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</si>
  <si>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</si>
  <si>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</si>
  <si>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</si>
  <si>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</si>
  <si>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</si>
  <si>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</si>
  <si>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</si>
  <si>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</si>
  <si>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</si>
  <si>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</si>
  <si>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</si>
  <si>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</si>
  <si>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</si>
  <si>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</si>
  <si>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</si>
  <si>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</si>
  <si>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</si>
  <si>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</si>
  <si>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</si>
  <si>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</si>
  <si>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</si>
  <si>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</si>
  <si>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</si>
  <si>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</si>
  <si>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</si>
  <si>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</si>
  <si>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</si>
  <si>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</si>
  <si>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</si>
  <si>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</si>
  <si>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</si>
  <si>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</si>
  <si>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</si>
  <si>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</si>
  <si>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</si>
  <si>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</si>
  <si>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</si>
  <si>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</si>
  <si>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</si>
  <si>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</si>
  <si>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</si>
  <si>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</si>
  <si>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</si>
  <si>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</si>
  <si>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</si>
  <si>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</si>
  <si>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</si>
  <si>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</si>
  <si>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</si>
  <si>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</si>
  <si>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</si>
  <si>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</si>
  <si>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</si>
  <si>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</si>
  <si>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</si>
  <si>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</si>
  <si>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</si>
  <si>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</si>
  <si>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</si>
  <si>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</si>
  <si>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</si>
  <si>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</si>
  <si>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</si>
  <si>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</si>
  <si>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</si>
  <si>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</si>
  <si>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</si>
  <si>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</si>
  <si>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</si>
  <si>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</si>
  <si>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</si>
  <si>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</si>
  <si>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</si>
  <si>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</si>
  <si>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</si>
  <si>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</si>
  <si>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</si>
  <si>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</si>
  <si>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</si>
  <si>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</si>
  <si>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</si>
  <si>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</si>
  <si>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</si>
  <si>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</si>
  <si>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</si>
  <si>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</si>
  <si>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</si>
  <si>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</si>
  <si>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</si>
  <si>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</si>
  <si>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</si>
  <si>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</si>
  <si>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</si>
  <si>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</si>
  <si>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</si>
  <si>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</si>
  <si>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</si>
  <si>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</si>
  <si>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</si>
  <si>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</si>
  <si>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</si>
  <si>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</si>
  <si>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</si>
  <si>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</si>
  <si>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</si>
  <si>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</si>
  <si>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</si>
  <si>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</si>
  <si>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</si>
  <si>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</si>
  <si>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</si>
  <si>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</si>
  <si>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</si>
  <si>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</si>
  <si>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</si>
  <si>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</si>
  <si>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</si>
  <si>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</si>
  <si>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</si>
  <si>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</si>
  <si>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</si>
  <si>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</si>
  <si>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</si>
  <si>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</si>
  <si>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</si>
  <si>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</si>
  <si>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</si>
  <si>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</si>
  <si>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</si>
  <si>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</si>
  <si>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</si>
  <si>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</si>
  <si>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</si>
  <si>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</si>
  <si>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</si>
  <si>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</si>
  <si>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</si>
  <si>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</si>
  <si>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</si>
  <si>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</si>
  <si>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</si>
  <si>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</si>
  <si>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</si>
  <si>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</si>
  <si>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</si>
  <si>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</si>
  <si>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</si>
  <si>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</si>
  <si>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</si>
  <si>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</si>
  <si>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</si>
  <si>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</si>
  <si>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</si>
  <si>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</si>
  <si>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</si>
  <si>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</si>
  <si>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</si>
  <si>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</si>
  <si>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</si>
  <si>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</si>
  <si>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</si>
  <si>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</si>
  <si>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</si>
  <si>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</si>
  <si>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</si>
  <si>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</si>
  <si>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</si>
  <si>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</si>
  <si>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</si>
  <si>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</si>
  <si>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</si>
  <si>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</si>
  <si>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</si>
  <si>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</si>
  <si>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</si>
  <si>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</si>
  <si>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</si>
  <si>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</si>
  <si>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</si>
  <si>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</si>
  <si>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</si>
  <si>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</si>
  <si>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</si>
  <si>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</si>
  <si>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</si>
  <si>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</si>
  <si>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</si>
  <si>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</si>
  <si>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</si>
  <si>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</si>
  <si>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</si>
  <si>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</si>
  <si>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</si>
  <si>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</si>
  <si>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</si>
  <si>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</si>
  <si>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</si>
  <si>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</si>
  <si>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</si>
  <si>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</si>
  <si>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</si>
  <si>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</si>
  <si>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</si>
  <si>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</si>
  <si>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</si>
  <si>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</si>
  <si>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</si>
  <si>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</si>
  <si>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</si>
  <si>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</si>
  <si>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</si>
  <si>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</si>
  <si>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</si>
  <si>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</si>
  <si>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</si>
  <si>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</si>
  <si>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</si>
  <si>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</si>
  <si>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</si>
  <si>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</si>
  <si>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</si>
  <si>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</si>
  <si>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</si>
  <si>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</si>
  <si>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</si>
  <si>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</si>
  <si>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</si>
  <si>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</si>
  <si>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</si>
  <si>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</si>
  <si>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</si>
  <si>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</si>
  <si>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</si>
  <si>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</si>
  <si>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</si>
  <si>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</si>
  <si>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</si>
  <si>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</si>
  <si>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</si>
  <si>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</si>
  <si>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</si>
  <si>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</si>
  <si>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</si>
  <si>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</si>
  <si>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</si>
  <si>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</si>
  <si>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</si>
  <si>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</si>
  <si>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</si>
  <si>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</si>
  <si>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</si>
  <si>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</si>
  <si>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</si>
  <si>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</si>
  <si>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</si>
  <si>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</si>
  <si>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</si>
  <si>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</si>
  <si>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</si>
  <si>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</si>
  <si>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</si>
  <si>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</si>
  <si>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</si>
  <si>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</si>
  <si>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</si>
  <si>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</si>
  <si>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</si>
  <si>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</si>
  <si>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</si>
  <si>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</si>
  <si>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</si>
  <si>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</si>
  <si>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</si>
  <si>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</si>
  <si>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</si>
  <si>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</si>
  <si>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</si>
  <si>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</si>
  <si>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</si>
  <si>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</si>
  <si>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</si>
  <si>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</si>
  <si>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</si>
  <si>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</si>
  <si>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</si>
  <si>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</si>
  <si>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</si>
  <si>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</si>
  <si>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</si>
  <si>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</si>
  <si>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</si>
  <si>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</si>
  <si>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</si>
  <si>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</si>
  <si>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</si>
  <si>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</si>
  <si>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</si>
  <si>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</si>
  <si>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</si>
  <si>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</si>
  <si>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</si>
  <si>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</si>
  <si>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</si>
  <si>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</si>
  <si>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</si>
  <si>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</si>
  <si>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</si>
  <si>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</si>
  <si>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</si>
  <si>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</si>
  <si>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</si>
  <si>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</si>
  <si>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</si>
  <si>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</si>
  <si>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</si>
  <si>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</si>
  <si>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</si>
  <si>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</si>
  <si>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</si>
  <si>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</si>
  <si>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</si>
  <si>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</si>
  <si>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</si>
  <si>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</si>
  <si>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</si>
  <si>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</si>
  <si>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</si>
  <si>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</si>
  <si>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</si>
  <si>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</si>
  <si>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</si>
  <si>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</si>
  <si>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</si>
  <si>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</si>
  <si>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</si>
  <si>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</si>
  <si>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</si>
  <si>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</si>
  <si>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</si>
  <si>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</si>
  <si>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</si>
  <si>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</si>
  <si>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</si>
  <si>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</si>
  <si>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</si>
  <si>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</si>
  <si>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</si>
  <si>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</si>
  <si>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</si>
  <si>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</si>
  <si>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</si>
  <si>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</si>
  <si>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</si>
  <si>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</si>
  <si>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</si>
  <si>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</si>
  <si>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</si>
  <si>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</si>
  <si>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</si>
  <si>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</si>
  <si>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</si>
  <si>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</si>
  <si>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</si>
  <si>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</si>
  <si>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</si>
  <si>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</si>
  <si>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</si>
  <si>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</si>
  <si>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</si>
  <si>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</si>
  <si>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</si>
  <si>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</si>
  <si>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</si>
  <si>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</si>
  <si>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</si>
  <si>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</si>
  <si>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</si>
  <si>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</si>
  <si>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</si>
  <si>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</si>
  <si>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</si>
  <si>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</si>
  <si>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</si>
  <si>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</si>
  <si>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</si>
  <si>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</si>
  <si>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</si>
  <si>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</si>
  <si>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</si>
  <si>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</si>
  <si>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</si>
  <si>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</si>
  <si>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</si>
  <si>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</si>
  <si>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</si>
  <si>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</si>
  <si>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</si>
  <si>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</si>
  <si>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</si>
  <si>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</si>
  <si>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</si>
  <si>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</si>
  <si>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</si>
  <si>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</si>
  <si>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</si>
  <si>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</si>
  <si>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</si>
  <si>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</si>
  <si>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</si>
  <si>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</si>
  <si>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</si>
  <si>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</si>
  <si>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</si>
  <si>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</si>
  <si>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</si>
  <si>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</si>
  <si>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</si>
  <si>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</si>
  <si>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</si>
  <si>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</si>
  <si>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</si>
  <si>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</si>
  <si>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</si>
  <si>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</si>
  <si>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</si>
  <si>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</si>
  <si>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</si>
  <si>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</si>
  <si>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</si>
  <si>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</si>
  <si>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</si>
  <si>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</si>
  <si>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</si>
  <si>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</si>
  <si>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</si>
  <si>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</si>
  <si>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</si>
  <si>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</si>
  <si>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</si>
  <si>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</si>
  <si>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</si>
  <si>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</si>
  <si>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</si>
  <si>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</si>
  <si>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</si>
  <si>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</si>
  <si>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</si>
  <si>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</si>
  <si>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</si>
  <si>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</si>
  <si>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</si>
  <si>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</si>
  <si>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</si>
  <si>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</si>
  <si>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</si>
  <si>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</si>
  <si>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</si>
  <si>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</si>
  <si>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</si>
  <si>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</si>
  <si>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</si>
  <si>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</si>
  <si>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</si>
  <si>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</si>
  <si>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</si>
  <si>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</si>
  <si>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</si>
  <si>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</si>
  <si>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</si>
  <si>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</si>
  <si>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</si>
  <si>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</si>
  <si>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</si>
  <si>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</si>
  <si>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</si>
  <si>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</si>
  <si>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</si>
  <si>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</si>
  <si>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</si>
  <si>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</si>
  <si>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</si>
  <si>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</si>
  <si>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</si>
  <si>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</si>
  <si>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</si>
  <si>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</si>
  <si>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</si>
  <si>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</si>
  <si>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</si>
  <si>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</si>
  <si>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</si>
  <si>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</si>
  <si>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</si>
  <si>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</si>
  <si>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</si>
  <si>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</si>
  <si>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</si>
  <si>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</si>
  <si>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</si>
  <si>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</si>
  <si>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</si>
  <si>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</si>
  <si>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</si>
  <si>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</si>
  <si>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</si>
  <si>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</si>
  <si>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</si>
  <si>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</si>
  <si>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</si>
  <si>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</si>
  <si>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</si>
  <si>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</si>
  <si>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</si>
  <si>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</si>
  <si>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</si>
  <si>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</si>
  <si>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</si>
  <si>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</si>
  <si>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</si>
  <si>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</si>
  <si>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</si>
  <si>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</si>
  <si>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</si>
  <si>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</si>
  <si>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</si>
  <si>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</si>
  <si>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</si>
  <si>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</si>
  <si>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</si>
  <si>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</si>
  <si>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</si>
  <si>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</si>
  <si>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</si>
  <si>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</si>
  <si>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</si>
  <si>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</si>
  <si>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</si>
  <si>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</si>
  <si>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</si>
  <si>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</si>
  <si>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</si>
  <si>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</si>
  <si>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</si>
  <si>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</si>
  <si>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</si>
  <si>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</si>
  <si>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</si>
  <si>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</si>
  <si>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</si>
  <si>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</si>
  <si>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</si>
  <si>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</si>
  <si>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</si>
  <si>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</si>
  <si>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</si>
  <si>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</si>
  <si>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</si>
  <si>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</si>
  <si>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</si>
  <si>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</si>
  <si>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</si>
  <si>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</si>
  <si>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</si>
  <si>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</si>
  <si>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</si>
  <si>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</si>
  <si>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</si>
  <si>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</si>
  <si>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</si>
  <si>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</si>
  <si>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</si>
  <si>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</si>
  <si>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</si>
  <si>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</si>
  <si>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</si>
  <si>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</si>
  <si>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</si>
  <si>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</si>
  <si>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</si>
  <si>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</si>
  <si>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</si>
  <si>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</si>
  <si>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</si>
  <si>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</si>
  <si>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</si>
  <si>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</si>
  <si>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</si>
  <si>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</si>
  <si>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</si>
  <si>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</si>
  <si>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</si>
  <si>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</si>
  <si>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</si>
  <si>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</si>
  <si>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</si>
  <si>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</si>
  <si>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</si>
  <si>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</si>
  <si>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</si>
  <si>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</si>
  <si>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</si>
  <si>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</si>
  <si>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</si>
  <si>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</si>
  <si>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</si>
  <si>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</si>
  <si>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</si>
  <si>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</si>
  <si>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</si>
  <si>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</si>
  <si>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</si>
  <si>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</si>
  <si>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</si>
  <si>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</si>
  <si>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</si>
  <si>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</si>
  <si>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</si>
  <si>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</si>
  <si>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</si>
  <si>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</si>
  <si>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</si>
  <si>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</si>
  <si>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</si>
  <si>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</si>
  <si>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</si>
  <si>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</si>
  <si>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</si>
  <si>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</si>
  <si>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</si>
  <si>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</si>
  <si>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</si>
  <si>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</si>
  <si>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</si>
  <si>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</si>
  <si>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</si>
  <si>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</si>
  <si>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</si>
  <si>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</si>
  <si>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</si>
  <si>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</si>
  <si>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</si>
  <si>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</si>
  <si>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</si>
  <si>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</si>
  <si>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</si>
  <si>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</si>
  <si>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</si>
  <si>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</si>
  <si>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</si>
  <si>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</si>
  <si>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</si>
  <si>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</si>
  <si>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</si>
  <si>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</si>
  <si>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</si>
  <si>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</si>
  <si>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</si>
  <si>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</si>
  <si>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</si>
  <si>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</si>
  <si>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</si>
  <si>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</si>
  <si>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</si>
  <si>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</si>
  <si>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</si>
  <si>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</si>
  <si>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</si>
  <si>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</si>
  <si>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</si>
  <si>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</si>
  <si>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</si>
  <si>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</si>
  <si>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</si>
  <si>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</si>
  <si>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</si>
  <si>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</si>
  <si>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</si>
  <si>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</si>
  <si>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</si>
  <si>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</si>
  <si>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</si>
  <si>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</si>
  <si>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</si>
  <si>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</si>
  <si>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</si>
  <si>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</si>
  <si>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</si>
  <si>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</si>
  <si>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</si>
  <si>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</si>
  <si>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</si>
  <si>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</si>
  <si>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</si>
  <si>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</si>
  <si>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</si>
  <si>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</si>
  <si>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</si>
  <si>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</si>
  <si>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</si>
  <si>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</si>
  <si>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</si>
  <si>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</si>
  <si>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</si>
  <si>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</si>
  <si>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</si>
  <si>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</si>
  <si>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</si>
  <si>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</si>
  <si>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</si>
  <si>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</si>
  <si>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</si>
  <si>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</si>
  <si>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</si>
  <si>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</si>
  <si>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</si>
  <si>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</si>
  <si>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</si>
  <si>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</si>
  <si>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</si>
  <si>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</si>
  <si>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</si>
  <si>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</si>
  <si>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</si>
  <si>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</si>
  <si>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</si>
  <si>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</si>
  <si>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</si>
  <si>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</si>
  <si>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</si>
  <si>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</si>
  <si>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</si>
  <si>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</si>
  <si>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</si>
  <si>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</si>
  <si>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</si>
  <si>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</si>
  <si>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</si>
  <si>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</si>
  <si>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</si>
  <si>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</si>
  <si>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</si>
  <si>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</si>
  <si>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</si>
  <si>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</si>
  <si>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</si>
  <si>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</si>
  <si>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</si>
  <si>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</si>
  <si>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</si>
  <si>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</si>
  <si>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</si>
  <si>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</si>
  <si>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</si>
  <si>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</si>
  <si>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</si>
  <si>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</si>
  <si>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</si>
  <si>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</si>
  <si>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</si>
  <si>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</si>
  <si>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</si>
  <si>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</si>
  <si>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</si>
  <si>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</si>
  <si>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</si>
  <si>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</si>
  <si>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</si>
  <si>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</si>
  <si>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</si>
  <si>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</si>
  <si>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</si>
  <si>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</si>
  <si>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</si>
  <si>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</si>
  <si>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</si>
  <si>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</si>
  <si>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</si>
  <si>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</si>
  <si>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</si>
  <si>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</si>
  <si>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</si>
  <si>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</si>
  <si>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</si>
  <si>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</si>
  <si>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</si>
  <si>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</si>
  <si>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</si>
  <si>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</si>
  <si>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</si>
  <si>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</si>
  <si>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</si>
  <si>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</si>
  <si>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</si>
  <si>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</si>
  <si>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</si>
  <si>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</si>
  <si>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</si>
  <si>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</si>
  <si>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</si>
  <si>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</si>
  <si>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</si>
  <si>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</si>
  <si>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</si>
  <si>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</si>
  <si>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</si>
  <si>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</si>
  <si>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</si>
  <si>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</si>
  <si>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</si>
  <si>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</si>
  <si>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</si>
  <si>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</si>
  <si>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</si>
  <si>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</si>
  <si>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</si>
  <si>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</si>
  <si>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</si>
  <si>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</si>
  <si>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</si>
  <si>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</si>
  <si>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</si>
  <si>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</si>
  <si>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</si>
  <si>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</si>
  <si>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</si>
  <si>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</si>
  <si>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</si>
  <si>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</si>
  <si>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</si>
  <si>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</si>
  <si>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</si>
  <si>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</si>
  <si>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</si>
  <si>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</si>
  <si>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</si>
  <si>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</si>
  <si>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</si>
  <si>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</si>
  <si>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</si>
  <si>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</si>
  <si>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</si>
  <si>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</si>
  <si>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</si>
  <si>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</si>
  <si>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</si>
  <si>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</si>
  <si>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</si>
  <si>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</si>
  <si>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</si>
  <si>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</si>
  <si>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</si>
  <si>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</si>
  <si>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</si>
  <si>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</si>
  <si>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</si>
  <si>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</si>
  <si>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</si>
  <si>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</si>
  <si>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</si>
  <si>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</si>
  <si>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</si>
  <si>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</si>
  <si>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</si>
  <si>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</si>
  <si>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</si>
  <si>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</si>
  <si>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</si>
  <si>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</si>
  <si>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</si>
  <si>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</si>
  <si>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</si>
  <si>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</si>
  <si>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</si>
  <si>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</si>
  <si>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</si>
  <si>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</si>
  <si>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</si>
  <si>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</si>
  <si>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</si>
  <si>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</si>
  <si>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</si>
  <si>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</si>
  <si>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</si>
  <si>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</si>
  <si>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</si>
  <si>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</si>
  <si>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</si>
  <si>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</si>
  <si>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</si>
  <si>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</si>
  <si>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</si>
  <si>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</si>
  <si>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</si>
  <si>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</si>
  <si>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</si>
  <si>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</si>
  <si>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</si>
  <si>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</si>
  <si>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</si>
  <si>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</si>
  <si>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</si>
  <si>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</si>
  <si>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</si>
  <si>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</si>
  <si>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</si>
  <si>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</si>
  <si>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</si>
  <si>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</si>
  <si>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</si>
  <si>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</si>
  <si>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</si>
  <si>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</si>
  <si>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</si>
  <si>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</si>
  <si>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</si>
  <si>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</si>
  <si>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</si>
  <si>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</si>
  <si>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</si>
  <si>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</si>
  <si>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</si>
  <si>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</si>
  <si>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</si>
  <si>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</si>
  <si>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</si>
  <si>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</si>
  <si>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</si>
  <si>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</si>
  <si>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</si>
  <si>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</si>
  <si>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</si>
  <si>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</si>
  <si>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</si>
  <si>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</si>
  <si>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</si>
  <si>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</si>
  <si>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</si>
  <si>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</si>
  <si>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</si>
  <si>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</si>
  <si>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</si>
  <si>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</si>
  <si>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</si>
  <si>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</si>
  <si>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</si>
  <si>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</si>
  <si>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</si>
  <si>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</si>
  <si>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</si>
  <si>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</si>
  <si>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</si>
  <si>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</si>
  <si>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</si>
  <si>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</si>
  <si>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</si>
  <si>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</si>
  <si>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</si>
  <si>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</si>
  <si>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</si>
  <si>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</si>
  <si>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</si>
  <si>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</si>
  <si>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</si>
  <si>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</si>
  <si>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</si>
  <si>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</si>
  <si>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</si>
  <si>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</si>
  <si>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</si>
  <si>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</si>
  <si>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</si>
  <si>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</si>
  <si>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</si>
  <si>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</si>
  <si>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</si>
  <si>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</si>
  <si>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</si>
  <si>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</si>
  <si>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</si>
  <si>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</si>
  <si>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</si>
  <si>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</si>
  <si>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</si>
  <si>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</si>
  <si>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</si>
  <si>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</si>
  <si>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</si>
  <si>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</si>
  <si>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</si>
  <si>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</si>
  <si>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</si>
  <si>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</si>
  <si>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</si>
  <si>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</si>
  <si>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</si>
  <si>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</si>
  <si>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</si>
  <si>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</si>
  <si>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</si>
  <si>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</si>
  <si>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</si>
  <si>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</si>
  <si>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</si>
  <si>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</si>
  <si>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</si>
  <si>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</si>
  <si>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</si>
  <si>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</si>
  <si>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</si>
  <si>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</si>
  <si>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</si>
  <si>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</si>
  <si>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</si>
  <si>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</si>
  <si>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</si>
  <si>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</si>
  <si>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</si>
  <si>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</si>
  <si>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</si>
  <si>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</si>
  <si>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</si>
  <si>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</si>
  <si>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</si>
  <si>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</si>
  <si>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</si>
  <si>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</si>
  <si>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</si>
  <si>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</si>
  <si>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</si>
  <si>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</si>
  <si>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</si>
  <si>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</si>
  <si>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</si>
  <si>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</si>
  <si>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</si>
  <si>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</si>
  <si>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</si>
  <si>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</si>
  <si>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</si>
  <si>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</si>
  <si>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</si>
  <si>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</si>
  <si>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</si>
  <si>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</si>
  <si>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</si>
  <si>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</si>
  <si>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</si>
  <si>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</si>
  <si>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</si>
  <si>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</si>
  <si>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</si>
  <si>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</si>
  <si>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</si>
  <si>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</si>
  <si>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</si>
  <si>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</si>
  <si>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</si>
  <si>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</si>
  <si>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</si>
  <si>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</si>
  <si>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</si>
  <si>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</si>
  <si>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</si>
  <si>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</si>
  <si>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</si>
  <si>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</si>
  <si>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</si>
  <si>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</si>
  <si>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</si>
  <si>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</si>
  <si>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</si>
  <si>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</si>
  <si>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</si>
  <si>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</si>
  <si>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</si>
  <si>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</si>
  <si>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</si>
  <si>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</si>
  <si>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</si>
  <si>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</si>
  <si>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</si>
  <si>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</si>
  <si>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</si>
  <si>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</si>
  <si>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</si>
  <si>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</si>
  <si>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</si>
  <si>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</si>
  <si>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</si>
  <si>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</si>
  <si>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</si>
  <si>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</si>
  <si>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</si>
  <si>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</si>
  <si>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</si>
  <si>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</si>
  <si>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</si>
  <si>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</si>
  <si>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</si>
  <si>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</si>
  <si>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</si>
  <si>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</si>
  <si>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</si>
  <si>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</si>
  <si>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</si>
  <si>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</si>
  <si>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</si>
  <si>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</si>
  <si>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</si>
  <si>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</si>
  <si>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</si>
  <si>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</si>
  <si>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</si>
  <si>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</si>
  <si>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</si>
  <si>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</si>
  <si>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</si>
  <si>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</si>
  <si>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</si>
  <si>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</si>
  <si>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</si>
  <si>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</si>
  <si>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</si>
  <si>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</si>
  <si>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</si>
  <si>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</si>
  <si>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</si>
  <si>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</si>
  <si>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</si>
  <si>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</si>
  <si>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</si>
  <si>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</si>
  <si>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</si>
  <si>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</si>
  <si>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</si>
  <si>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</si>
  <si>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</si>
  <si>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</si>
  <si>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</si>
  <si>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</si>
  <si>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</si>
  <si>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</si>
  <si>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</si>
  <si>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</si>
  <si>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</si>
  <si>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</si>
  <si>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</si>
  <si>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</si>
  <si>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</si>
  <si>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</si>
  <si>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</si>
  <si>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</si>
  <si>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</si>
  <si>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</si>
  <si>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</si>
  <si>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</si>
  <si>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</si>
  <si>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</si>
  <si>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</si>
  <si>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</si>
  <si>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</si>
  <si>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</si>
  <si>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</si>
  <si>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</si>
  <si>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</si>
  <si>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</si>
  <si>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</si>
  <si>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</si>
  <si>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</si>
  <si>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</si>
  <si>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</si>
  <si>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</si>
  <si>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</si>
  <si>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</si>
  <si>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</si>
  <si>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</si>
  <si>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</si>
  <si>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</si>
  <si>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</si>
  <si>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</si>
  <si>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</si>
  <si>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</si>
  <si>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</si>
  <si>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</si>
  <si>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</si>
  <si>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</si>
  <si>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</si>
  <si>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</si>
  <si>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</si>
  <si>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</si>
  <si>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</si>
  <si>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</si>
  <si>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</si>
  <si>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</si>
  <si>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</si>
  <si>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</si>
  <si>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</si>
  <si>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</si>
  <si>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</si>
  <si>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</si>
  <si>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</si>
  <si>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</si>
  <si>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</si>
  <si>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</si>
  <si>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</si>
  <si>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</si>
  <si>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</si>
  <si>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</si>
  <si>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</si>
  <si>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</si>
  <si>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</si>
  <si>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</si>
  <si>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</si>
  <si>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</si>
  <si>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</si>
  <si>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</si>
  <si>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</si>
  <si>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</si>
  <si>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</si>
  <si>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</si>
  <si>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</si>
  <si>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</si>
  <si>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</si>
  <si>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</si>
  <si>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</si>
  <si>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</si>
  <si>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</si>
  <si>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</si>
  <si>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</si>
  <si>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</si>
  <si>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</si>
  <si>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</si>
  <si>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</si>
  <si>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</si>
  <si>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</si>
  <si>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</si>
  <si>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</si>
  <si>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</si>
  <si>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</si>
  <si>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</si>
  <si>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</si>
  <si>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</si>
  <si>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</si>
  <si>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</si>
  <si>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</si>
  <si>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</si>
  <si>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</si>
  <si>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</si>
  <si>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</si>
  <si>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</si>
  <si>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</si>
  <si>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</si>
  <si>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</si>
  <si>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</si>
  <si>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</si>
  <si>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</si>
  <si>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</si>
  <si>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</si>
  <si>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</si>
  <si>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</si>
  <si>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</si>
  <si>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</si>
  <si>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</si>
  <si>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</si>
  <si>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</si>
  <si>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</si>
  <si>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</si>
  <si>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</si>
  <si>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</si>
  <si>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</si>
  <si>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</si>
  <si>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</si>
  <si>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</si>
  <si>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</si>
  <si>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</si>
  <si>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</si>
  <si>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</si>
  <si>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</si>
  <si>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</si>
  <si>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</si>
  <si>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</si>
  <si>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</si>
  <si>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</si>
  <si>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</si>
  <si>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</si>
  <si>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</si>
  <si>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</si>
  <si>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</si>
  <si>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</si>
  <si>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</si>
  <si>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</si>
  <si>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</si>
  <si>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</si>
  <si>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</si>
  <si>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</si>
  <si>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</si>
  <si>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</si>
  <si>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</si>
  <si>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</si>
  <si>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</si>
  <si>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</si>
  <si>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</si>
  <si>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</si>
  <si>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</si>
  <si>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</si>
  <si>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</si>
  <si>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</si>
  <si>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</si>
  <si>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</si>
  <si>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</si>
  <si>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</si>
  <si>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</si>
  <si>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</si>
  <si>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</si>
  <si>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</si>
  <si>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</si>
  <si>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</si>
  <si>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</si>
  <si>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</si>
  <si>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</si>
  <si>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</si>
  <si>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</si>
  <si>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</si>
  <si>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</si>
  <si>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</si>
  <si>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</si>
  <si>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</si>
  <si>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</si>
  <si>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</si>
  <si>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</si>
  <si>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</si>
  <si>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</si>
  <si>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</si>
  <si>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</si>
  <si>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</si>
  <si>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</si>
  <si>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</si>
  <si>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</si>
  <si>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</si>
  <si>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</si>
  <si>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</si>
  <si>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</si>
  <si>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</si>
  <si>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</si>
  <si>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</si>
  <si>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</si>
  <si>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</si>
  <si>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</si>
  <si>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</si>
  <si>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</si>
  <si>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</si>
  <si>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</si>
  <si>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</si>
  <si>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</si>
  <si>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</si>
  <si>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</si>
  <si>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</si>
  <si>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</si>
  <si>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</si>
  <si>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</si>
  <si>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</si>
  <si>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</si>
  <si>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</si>
  <si>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</si>
  <si>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</si>
  <si>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</si>
  <si>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</si>
  <si>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</si>
  <si>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</si>
  <si>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</si>
  <si>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</si>
  <si>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</si>
  <si>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</si>
  <si>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</si>
  <si>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</si>
  <si>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</si>
  <si>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</si>
  <si>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</si>
  <si>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</si>
  <si>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</si>
  <si>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</si>
  <si>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</si>
  <si>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</si>
  <si>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</si>
  <si>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</si>
  <si>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</si>
  <si>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</si>
  <si>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</si>
  <si>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</si>
  <si>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</si>
  <si>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</si>
  <si>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</si>
  <si>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</si>
  <si>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</si>
  <si>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</si>
  <si>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</si>
  <si>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</si>
  <si>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</si>
  <si>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</si>
  <si>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</si>
  <si>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</si>
  <si>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</si>
  <si>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</si>
  <si>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</si>
  <si>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</si>
  <si>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</si>
  <si>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</si>
  <si>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</si>
  <si>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</si>
  <si>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</si>
  <si>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</si>
  <si>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</si>
  <si>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</si>
  <si>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</si>
  <si>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</si>
  <si>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</si>
  <si>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</si>
  <si>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</si>
  <si>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</si>
  <si>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</si>
  <si>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</si>
  <si>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</si>
  <si>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</si>
  <si>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</si>
  <si>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</si>
  <si>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</si>
  <si>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</si>
  <si>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</si>
  <si>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</si>
  <si>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</si>
  <si>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</si>
  <si>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</si>
  <si>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</si>
  <si>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</si>
  <si>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</si>
  <si>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</si>
  <si>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</si>
  <si>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</si>
  <si>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</si>
  <si>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</si>
  <si>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</si>
  <si>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</si>
  <si>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</si>
  <si>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</si>
  <si>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</si>
  <si>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</si>
  <si>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</si>
  <si>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</si>
  <si>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</si>
  <si>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</si>
  <si>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</si>
  <si>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</si>
  <si>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</si>
  <si>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</si>
  <si>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</si>
  <si>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</si>
  <si>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</si>
  <si>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</si>
  <si>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</si>
  <si>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</si>
  <si>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</si>
  <si>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</si>
  <si>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</si>
  <si>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</si>
  <si>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</si>
  <si>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</si>
  <si>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</si>
  <si>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</si>
  <si>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</si>
  <si>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</si>
  <si>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</si>
  <si>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</si>
  <si>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</si>
  <si>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</si>
  <si>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</si>
  <si>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</si>
  <si>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</si>
  <si>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</si>
  <si>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</si>
  <si>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</si>
  <si>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</si>
  <si>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</si>
  <si>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</si>
  <si>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</si>
  <si>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</si>
  <si>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</si>
  <si>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</si>
  <si>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</si>
  <si>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</si>
  <si>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</si>
  <si>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</si>
  <si>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</si>
  <si>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</si>
  <si>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</si>
  <si>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</si>
  <si>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</si>
  <si>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</si>
  <si>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</si>
  <si>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</si>
  <si>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</si>
  <si>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</si>
  <si>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</si>
  <si>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</si>
  <si>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</si>
  <si>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</si>
  <si>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</si>
  <si>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</si>
  <si>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</si>
  <si>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</si>
  <si>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</si>
  <si>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</si>
  <si>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</si>
  <si>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</si>
  <si>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</si>
  <si>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</si>
  <si>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</si>
  <si>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</si>
  <si>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</si>
  <si>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</si>
  <si>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</si>
  <si>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</si>
  <si>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</si>
  <si>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</si>
  <si>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</si>
  <si>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</si>
  <si>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</si>
  <si>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</si>
  <si>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</si>
  <si>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</si>
  <si>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</si>
  <si>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</si>
  <si>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</si>
  <si>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</si>
  <si>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</si>
  <si>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</si>
  <si>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</si>
  <si>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</si>
  <si>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</si>
  <si>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</si>
  <si>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</si>
  <si>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</si>
  <si>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</si>
  <si>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</si>
  <si>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</si>
  <si>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</si>
  <si>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</si>
  <si>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</si>
  <si>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</si>
  <si>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</si>
  <si>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</si>
  <si>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</si>
  <si>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</si>
  <si>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</si>
  <si>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</si>
  <si>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</si>
  <si>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</si>
  <si>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</si>
  <si>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</si>
  <si>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</si>
  <si>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</si>
  <si>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</si>
  <si>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</si>
  <si>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</si>
  <si>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</si>
  <si>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</si>
  <si>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</si>
  <si>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</si>
  <si>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</si>
  <si>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</si>
  <si>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</si>
  <si>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</si>
  <si>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</si>
  <si>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</si>
  <si>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</si>
  <si>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</si>
  <si>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</si>
  <si>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</si>
  <si>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</si>
  <si>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</si>
  <si>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</si>
  <si>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</si>
  <si>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</si>
  <si>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</si>
  <si>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</si>
  <si>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</si>
  <si>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</si>
  <si>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</si>
  <si>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</si>
  <si>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</si>
  <si>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</si>
  <si>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</si>
  <si>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</si>
  <si>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</si>
  <si>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</si>
  <si>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</si>
  <si>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</si>
  <si>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</si>
  <si>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</si>
  <si>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</si>
  <si>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</si>
  <si>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</si>
  <si>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</si>
  <si>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</si>
  <si>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</si>
  <si>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</si>
  <si>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</si>
  <si>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</si>
  <si>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</si>
  <si>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</si>
  <si>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</si>
  <si>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</si>
  <si>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</si>
  <si>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</si>
  <si>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</si>
  <si>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</si>
  <si>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</si>
  <si>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</si>
  <si>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</si>
  <si>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</si>
  <si>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</si>
  <si>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</si>
  <si>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</si>
  <si>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</si>
  <si>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</si>
  <si>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</si>
  <si>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</si>
  <si>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</si>
  <si>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</si>
  <si>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</si>
  <si>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</si>
  <si>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</si>
  <si>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</si>
  <si>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</si>
  <si>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</si>
  <si>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</si>
  <si>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</si>
  <si>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</si>
  <si>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</si>
  <si>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</si>
  <si>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</si>
  <si>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</si>
  <si>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</si>
  <si>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</si>
  <si>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</si>
  <si>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</si>
  <si>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</si>
  <si>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</si>
  <si>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</si>
  <si>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</si>
  <si>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</si>
  <si>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</si>
  <si>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</si>
  <si>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</si>
  <si>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</si>
  <si>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</si>
  <si>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</si>
  <si>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</si>
  <si>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</si>
  <si>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</si>
  <si>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</si>
  <si>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</si>
  <si>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</si>
  <si>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</si>
  <si>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</si>
  <si>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</si>
  <si>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</si>
  <si>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</si>
  <si>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</si>
  <si>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</si>
  <si>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</si>
  <si>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</si>
  <si>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</si>
  <si>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</si>
  <si>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</si>
  <si>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</si>
  <si>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</si>
  <si>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</si>
  <si>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</si>
  <si>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</si>
  <si>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</si>
  <si>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</si>
  <si>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</si>
  <si>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</si>
  <si>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</si>
  <si>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</si>
  <si>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</si>
  <si>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</si>
  <si>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</si>
  <si>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</si>
  <si>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</si>
  <si>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</si>
  <si>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</si>
  <si>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</si>
  <si>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</si>
  <si>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</si>
  <si>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</si>
  <si>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</si>
  <si>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</si>
  <si>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</si>
  <si>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</si>
  <si>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</si>
  <si>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</si>
  <si>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</si>
  <si>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</si>
  <si>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</si>
  <si>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</si>
  <si>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</si>
  <si>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</si>
  <si>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</si>
  <si>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</si>
  <si>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</si>
  <si>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</si>
  <si>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</si>
  <si>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</si>
  <si>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</si>
  <si>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</si>
  <si>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</si>
  <si>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</si>
  <si>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</si>
  <si>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</si>
  <si>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</si>
  <si>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</si>
  <si>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</si>
  <si>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</si>
  <si>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</si>
  <si>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</si>
  <si>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</si>
  <si>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</si>
  <si>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</si>
  <si>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</si>
  <si>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</si>
  <si>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</si>
  <si>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</si>
  <si>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</si>
  <si>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</si>
  <si>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</si>
  <si>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</si>
  <si>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</si>
  <si>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</si>
  <si>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</si>
  <si>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</si>
  <si>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</si>
  <si>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</si>
  <si>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</si>
  <si>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</si>
  <si>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</si>
  <si>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</si>
  <si>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</si>
  <si>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</si>
  <si>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</si>
  <si>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</si>
  <si>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</si>
  <si>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</si>
  <si>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</si>
  <si>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</si>
  <si>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</si>
  <si>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</si>
  <si>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</si>
  <si>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</si>
  <si>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</si>
  <si>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</si>
  <si>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</si>
  <si>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</si>
  <si>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</si>
  <si>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</si>
  <si>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</si>
  <si>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</si>
  <si>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</si>
  <si>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</si>
  <si>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</si>
  <si>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</si>
  <si>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</si>
  <si>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</si>
  <si>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</si>
  <si>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</si>
  <si>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</si>
  <si>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</si>
  <si>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</si>
  <si>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</si>
  <si>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</si>
  <si>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</si>
  <si>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</si>
  <si>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</si>
  <si>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</si>
  <si>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</si>
  <si>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</si>
  <si>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</si>
  <si>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</si>
  <si>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</si>
  <si>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</si>
  <si>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</si>
  <si>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</si>
  <si>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</si>
  <si>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</si>
  <si>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</si>
  <si>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</si>
  <si>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</si>
  <si>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</si>
  <si>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</si>
  <si>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</si>
  <si>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</si>
  <si>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</si>
  <si>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</si>
  <si>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</si>
  <si>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</si>
  <si>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</si>
  <si>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</si>
  <si>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</si>
  <si>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</si>
  <si>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</si>
  <si>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</si>
  <si>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</si>
  <si>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</si>
  <si>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</si>
  <si>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</si>
  <si>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</si>
  <si>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</si>
  <si>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</si>
  <si>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</si>
  <si>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</si>
  <si>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</si>
  <si>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</si>
  <si>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</si>
  <si>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</si>
  <si>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</si>
  <si>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</si>
  <si>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</si>
  <si>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</si>
  <si>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</si>
  <si>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</si>
  <si>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</si>
  <si>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</si>
  <si>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</si>
  <si>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</si>
  <si>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</si>
  <si>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</si>
  <si>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</si>
  <si>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</si>
  <si>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</si>
  <si>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</si>
  <si>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</si>
  <si>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</si>
  <si>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</si>
  <si>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</si>
  <si>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</si>
  <si>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</si>
  <si>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</si>
  <si>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</si>
  <si>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</si>
  <si>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</si>
  <si>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</si>
  <si>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</si>
  <si>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</si>
  <si>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</si>
  <si>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</si>
  <si>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</si>
  <si>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</si>
  <si>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</si>
  <si>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</si>
  <si>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</si>
  <si>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</si>
  <si>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</si>
  <si>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</si>
  <si>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</si>
  <si>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</si>
  <si>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</si>
  <si>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</si>
  <si>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</si>
  <si>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</si>
  <si>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</si>
  <si>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</si>
  <si>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</si>
  <si>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</si>
  <si>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</si>
  <si>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</si>
  <si>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</si>
  <si>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</si>
  <si>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</si>
  <si>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</si>
  <si>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</si>
  <si>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</si>
  <si>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</si>
  <si>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</si>
  <si>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</si>
  <si>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</si>
  <si>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</si>
  <si>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</si>
  <si>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</si>
  <si>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</si>
  <si>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</si>
  <si>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</si>
  <si>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</si>
  <si>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</si>
  <si>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</si>
  <si>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</si>
  <si>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</si>
  <si>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</si>
  <si>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</si>
  <si>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</si>
  <si>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</si>
  <si>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</si>
  <si>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</si>
  <si>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</si>
  <si>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</si>
  <si>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</si>
  <si>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</si>
  <si>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</si>
  <si>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</si>
  <si>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</si>
  <si>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</si>
  <si>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</si>
  <si>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</si>
  <si>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</si>
  <si>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</si>
  <si>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</si>
  <si>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</si>
  <si>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</si>
  <si>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</si>
  <si>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</si>
  <si>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</si>
  <si>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</si>
  <si>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</si>
  <si>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</si>
  <si>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</si>
  <si>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</si>
  <si>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</si>
  <si>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</si>
  <si>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</si>
  <si>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</si>
  <si>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</si>
  <si>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</si>
  <si>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</si>
  <si>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</si>
  <si>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</si>
  <si>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</si>
  <si>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</si>
  <si>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</si>
  <si>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</si>
  <si>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</si>
  <si>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</si>
  <si>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</si>
  <si>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</si>
  <si>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</si>
  <si>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</si>
  <si>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</si>
  <si>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</si>
  <si>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</si>
  <si>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</si>
  <si>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</si>
  <si>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</si>
  <si>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</si>
  <si>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</si>
  <si>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</si>
  <si>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</si>
  <si>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</si>
  <si>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</si>
  <si>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</si>
  <si>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</si>
  <si>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</si>
  <si>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</si>
  <si>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</si>
  <si>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</si>
  <si>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</si>
  <si>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</si>
  <si>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</si>
  <si>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</si>
  <si>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</si>
  <si>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</si>
  <si>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</si>
  <si>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</si>
  <si>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</si>
  <si>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</si>
  <si>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</si>
  <si>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</si>
  <si>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</si>
  <si>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</si>
  <si>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</si>
  <si>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</si>
  <si>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</si>
  <si>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</si>
  <si>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</si>
  <si>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</si>
  <si>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</si>
  <si>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</si>
  <si>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</si>
  <si>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</si>
  <si>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</si>
  <si>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</si>
  <si>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</si>
  <si>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</si>
  <si>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</si>
  <si>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</si>
  <si>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</si>
  <si>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</si>
  <si>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</si>
  <si>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</si>
  <si>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</si>
  <si>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</si>
  <si>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</si>
  <si>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</si>
  <si>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</si>
  <si>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</si>
  <si>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</si>
  <si>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</si>
  <si>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</si>
  <si>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</si>
  <si>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</si>
  <si>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</si>
  <si>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</si>
  <si>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</si>
  <si>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</si>
  <si>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</si>
  <si>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</si>
  <si>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</si>
  <si>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</si>
  <si>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</si>
  <si>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</si>
  <si>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</si>
  <si>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</si>
  <si>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</si>
  <si>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</si>
  <si>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</si>
  <si>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</si>
  <si>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</si>
  <si>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</si>
  <si>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</si>
  <si>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</si>
  <si>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</si>
  <si>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</si>
  <si>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</si>
  <si>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</si>
  <si>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</si>
  <si>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</si>
  <si>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</si>
  <si>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</si>
  <si>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</si>
  <si>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</si>
  <si>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</si>
  <si>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</si>
  <si>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</si>
  <si>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</si>
  <si>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</si>
  <si>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</si>
  <si>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</si>
  <si>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</si>
  <si>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</si>
  <si>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</si>
  <si>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</si>
  <si>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</si>
  <si>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</si>
  <si>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</si>
  <si>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</si>
  <si>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</si>
  <si>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</si>
  <si>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</si>
  <si>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</si>
  <si>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</si>
  <si>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</si>
  <si>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</si>
  <si>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</si>
  <si>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</si>
  <si>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</si>
  <si>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</si>
  <si>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</si>
  <si>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</si>
  <si>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</si>
  <si>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</si>
  <si>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</si>
  <si>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</si>
  <si>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</si>
  <si>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</si>
  <si>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</si>
  <si>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</si>
  <si>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</si>
  <si>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</si>
  <si>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</si>
  <si>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</si>
  <si>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</si>
  <si>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</si>
  <si>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</si>
  <si>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</si>
  <si>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</si>
  <si>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</si>
  <si>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</si>
  <si>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</si>
  <si>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</si>
  <si>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</si>
  <si>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</si>
  <si>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</si>
  <si>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</si>
  <si>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</si>
  <si>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</si>
  <si>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</si>
  <si>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</si>
  <si>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</si>
  <si>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</si>
  <si>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</si>
  <si>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</si>
  <si>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</si>
  <si>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</si>
  <si>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</si>
  <si>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</si>
  <si>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</si>
  <si>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</si>
  <si>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</si>
  <si>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</si>
  <si>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</si>
  <si>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</si>
  <si>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</si>
  <si>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</si>
  <si>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</si>
  <si>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</si>
  <si>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</si>
  <si>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</si>
  <si>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</si>
  <si>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</si>
  <si>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</si>
  <si>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</si>
  <si>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</si>
  <si>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</si>
  <si>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</si>
  <si>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</si>
  <si>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</si>
  <si>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</si>
  <si>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</si>
  <si>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</si>
  <si>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</si>
  <si>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</si>
  <si>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</si>
  <si>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</si>
  <si>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</si>
  <si>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</si>
  <si>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</si>
  <si>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</si>
  <si>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</si>
  <si>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</si>
  <si>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</si>
  <si>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</si>
  <si>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</si>
  <si>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</si>
  <si>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</si>
  <si>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</si>
  <si>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</si>
  <si>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</si>
  <si>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</si>
  <si>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</si>
  <si>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</si>
  <si>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</si>
  <si>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</si>
  <si>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</si>
  <si>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</si>
  <si>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</si>
  <si>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</si>
  <si>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</si>
  <si>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</si>
  <si>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</si>
  <si>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</si>
  <si>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</si>
  <si>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</si>
  <si>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</si>
  <si>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</si>
  <si>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</si>
  <si>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</si>
  <si>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</si>
  <si>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</si>
  <si>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</si>
  <si>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</si>
  <si>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</si>
  <si>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</si>
  <si>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</si>
  <si>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</si>
  <si>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</si>
  <si>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</si>
  <si>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</si>
  <si>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</si>
  <si>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</si>
  <si>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</si>
  <si>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</si>
  <si>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</si>
  <si>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</si>
  <si>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</si>
  <si>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</si>
  <si>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</si>
  <si>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</si>
  <si>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</si>
  <si>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</si>
  <si>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</si>
  <si>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</si>
  <si>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</si>
  <si>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</si>
  <si>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</si>
  <si>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</si>
  <si>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</si>
  <si>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</si>
  <si>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</si>
  <si>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</si>
  <si>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</si>
  <si>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</si>
  <si>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</si>
  <si>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</si>
  <si>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</si>
  <si>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</si>
  <si>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</si>
  <si>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</si>
  <si>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</si>
  <si>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</si>
  <si>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</si>
  <si>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</si>
  <si>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</si>
  <si>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</si>
  <si>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</si>
  <si>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</si>
  <si>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</si>
  <si>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</si>
  <si>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</si>
  <si>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</si>
  <si>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</si>
  <si>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</si>
  <si>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</si>
  <si>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</si>
  <si>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</si>
  <si>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</si>
  <si>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</si>
  <si>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</si>
  <si>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</si>
  <si>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</si>
  <si>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</si>
  <si>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</si>
  <si>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</si>
  <si>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</si>
  <si>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</si>
  <si>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</si>
  <si>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</si>
  <si>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</si>
  <si>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</si>
  <si>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</si>
  <si>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</si>
  <si>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</si>
  <si>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</si>
  <si>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</si>
  <si>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</si>
  <si>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</si>
  <si>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</si>
  <si>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</si>
  <si>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</si>
  <si>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</si>
  <si>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</si>
  <si>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</si>
  <si>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</si>
  <si>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</si>
  <si>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</si>
  <si>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</si>
  <si>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</si>
  <si>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</si>
  <si>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</si>
  <si>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</si>
  <si>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</si>
  <si>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</si>
  <si>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</si>
  <si>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</si>
  <si>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</si>
  <si>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</si>
  <si>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</si>
  <si>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</si>
  <si>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</si>
  <si>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</si>
  <si>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</si>
  <si>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</si>
  <si>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</si>
  <si>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</si>
  <si>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</si>
  <si>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</si>
  <si>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</si>
  <si>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</si>
  <si>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</si>
  <si>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</si>
  <si>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</si>
  <si>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</si>
  <si>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</si>
  <si>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</si>
  <si>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</si>
  <si>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</si>
  <si>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</si>
  <si>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</si>
  <si>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</si>
  <si>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</si>
  <si>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</si>
  <si>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</si>
  <si>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</si>
  <si>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</si>
  <si>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</si>
  <si>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</si>
  <si>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</si>
  <si>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</si>
  <si>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</si>
  <si>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</si>
  <si>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</si>
  <si>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</si>
  <si>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</si>
  <si>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</si>
  <si>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</si>
  <si>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</si>
  <si>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</si>
  <si>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</si>
  <si>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</si>
  <si>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</si>
  <si>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</si>
  <si>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</si>
  <si>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</si>
  <si>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</si>
  <si>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</si>
  <si>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</si>
  <si>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</si>
  <si>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</si>
  <si>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</si>
  <si>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</si>
  <si>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</si>
  <si>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</si>
  <si>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</si>
  <si>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</si>
  <si>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</si>
  <si>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</si>
  <si>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</si>
  <si>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</si>
  <si>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</si>
  <si>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</si>
  <si>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</si>
  <si>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</si>
  <si>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</si>
  <si>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</si>
  <si>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</si>
  <si>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</si>
  <si>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</si>
  <si>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</si>
  <si>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</si>
  <si>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</si>
  <si>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</si>
  <si>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</si>
  <si>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</si>
  <si>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</si>
  <si>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</si>
  <si>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</si>
  <si>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</si>
  <si>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</si>
  <si>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</si>
  <si>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</si>
  <si>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</si>
  <si>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</si>
  <si>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</si>
  <si>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</si>
  <si>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</si>
  <si>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</si>
  <si>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</si>
  <si>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</si>
  <si>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</si>
  <si>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</si>
  <si>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</si>
  <si>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</si>
  <si>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</si>
  <si>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</si>
  <si>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</si>
  <si>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</si>
  <si>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</si>
  <si>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</si>
  <si>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</si>
  <si>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</si>
  <si>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</si>
  <si>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</si>
  <si>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</si>
  <si>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</si>
  <si>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</si>
  <si>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</si>
  <si>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</si>
  <si>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</si>
  <si>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</si>
  <si>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</si>
  <si>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</si>
  <si>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</si>
  <si>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</si>
  <si>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</si>
  <si>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</si>
  <si>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</si>
  <si>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</si>
  <si>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</si>
  <si>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</si>
  <si>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</si>
  <si>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</si>
  <si>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</si>
  <si>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</si>
  <si>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</si>
  <si>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</si>
  <si>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</si>
  <si>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</si>
  <si>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</si>
  <si>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</si>
  <si>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</si>
  <si>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</si>
  <si>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</si>
  <si>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</si>
  <si>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</si>
  <si>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</si>
  <si>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</si>
  <si>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</si>
  <si>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</si>
  <si>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</si>
  <si>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</si>
  <si>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</si>
  <si>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</si>
  <si>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</si>
  <si>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</si>
  <si>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</si>
  <si>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</si>
  <si>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</si>
  <si>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</si>
  <si>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</si>
  <si>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</si>
  <si>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</si>
  <si>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</si>
  <si>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</si>
  <si>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</si>
  <si>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</si>
  <si>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</si>
  <si>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</si>
  <si>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</si>
  <si>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</si>
  <si>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</si>
  <si>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</si>
  <si>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</si>
  <si>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</si>
  <si>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</si>
  <si>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</si>
  <si>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</si>
  <si>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</si>
  <si>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</si>
  <si>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</si>
  <si>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</si>
  <si>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</si>
  <si>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</si>
  <si>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</si>
  <si>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</si>
  <si>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</si>
  <si>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</si>
  <si>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</si>
  <si>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</si>
  <si>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</si>
  <si>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</si>
  <si>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</si>
  <si>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</si>
  <si>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</si>
  <si>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</si>
  <si>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</si>
  <si>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</si>
  <si>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</si>
  <si>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</si>
  <si>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</si>
  <si>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</si>
  <si>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</si>
  <si>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</si>
  <si>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</si>
  <si>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</si>
  <si>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</si>
  <si>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</si>
  <si>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</si>
  <si>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</si>
  <si>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</si>
  <si>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</si>
  <si>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</si>
  <si>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</si>
  <si>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</si>
  <si>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</si>
  <si>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</si>
  <si>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</si>
  <si>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</si>
  <si>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</si>
  <si>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</si>
  <si>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</si>
  <si>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</si>
  <si>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</si>
  <si>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</si>
  <si>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</si>
  <si>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</si>
  <si>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</si>
  <si>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</si>
  <si>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</si>
  <si>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</si>
  <si>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</si>
  <si>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</si>
  <si>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</si>
  <si>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</si>
  <si>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</si>
  <si>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</si>
  <si>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</si>
  <si>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</si>
  <si>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</si>
  <si>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</si>
  <si>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</si>
  <si>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</si>
  <si>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</si>
  <si>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</si>
  <si>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</si>
  <si>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</si>
  <si>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</si>
  <si>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</si>
  <si>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</si>
  <si>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</si>
  <si>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</si>
  <si>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</si>
  <si>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</si>
  <si>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</si>
  <si>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</si>
  <si>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</si>
  <si>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</si>
  <si>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</si>
  <si>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</si>
  <si>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</si>
  <si>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</si>
  <si>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</si>
  <si>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</si>
  <si>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</si>
  <si>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</si>
  <si>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</si>
  <si>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</si>
  <si>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</si>
  <si>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</si>
  <si>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</si>
  <si>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</si>
  <si>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</si>
  <si>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</si>
  <si>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</si>
  <si>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</si>
  <si>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</si>
  <si>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</si>
  <si>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</si>
  <si>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</si>
  <si>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</si>
  <si>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</si>
  <si>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</si>
  <si>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</si>
  <si>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</si>
  <si>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</si>
  <si>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</si>
  <si>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</si>
  <si>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</si>
  <si>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</si>
  <si>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</si>
  <si>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</si>
  <si>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</si>
  <si>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</si>
  <si>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</si>
  <si>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</si>
  <si>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</si>
  <si>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</si>
  <si>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</si>
  <si>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</si>
  <si>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</si>
  <si>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</si>
  <si>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</si>
  <si>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</si>
  <si>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</si>
  <si>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</si>
  <si>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</si>
  <si>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</si>
  <si>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</si>
  <si>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</si>
  <si>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</si>
  <si>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</si>
  <si>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</si>
  <si>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</si>
  <si>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</si>
  <si>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</si>
  <si>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</si>
  <si>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</si>
  <si>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</si>
  <si>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</si>
  <si>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</si>
  <si>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</si>
  <si>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</si>
  <si>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</si>
  <si>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</si>
  <si>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</si>
  <si>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</si>
  <si>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</si>
  <si>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</si>
  <si>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</si>
  <si>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</si>
  <si>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</si>
  <si>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</si>
  <si>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</si>
  <si>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</si>
  <si>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</si>
  <si>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</si>
  <si>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</si>
  <si>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</si>
  <si>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</si>
  <si>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</si>
  <si>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</si>
  <si>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</si>
  <si>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</si>
  <si>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</si>
  <si>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</si>
  <si>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</si>
  <si>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</si>
  <si>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</si>
  <si>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</si>
  <si>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</si>
  <si>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</si>
  <si>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</si>
  <si>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</si>
  <si>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</si>
  <si>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</si>
  <si>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</si>
  <si>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</si>
  <si>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</si>
  <si>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</si>
  <si>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</si>
  <si>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</si>
  <si>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</si>
  <si>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</si>
  <si>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</si>
  <si>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</si>
  <si>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</si>
  <si>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</si>
  <si>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</si>
  <si>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</si>
  <si>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</si>
  <si>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</si>
  <si>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</si>
  <si>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</si>
  <si>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</si>
  <si>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</si>
  <si>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</si>
  <si>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</si>
  <si>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</si>
  <si>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</si>
  <si>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</si>
  <si>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</si>
  <si>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</si>
  <si>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</si>
  <si>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</si>
  <si>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</si>
  <si>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</si>
  <si>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</si>
  <si>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</si>
  <si>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</si>
  <si>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</si>
  <si>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</si>
  <si>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</si>
  <si>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</si>
  <si>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</si>
  <si>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</si>
  <si>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</si>
  <si>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</si>
  <si>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</si>
  <si>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</si>
  <si>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</si>
  <si>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</si>
  <si>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</si>
  <si>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</si>
  <si>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</si>
  <si>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</si>
  <si>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</si>
  <si>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</si>
  <si>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</si>
  <si>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</si>
  <si>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</si>
  <si>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</si>
  <si>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</si>
  <si>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</si>
  <si>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</si>
  <si>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</si>
  <si>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</si>
  <si>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</si>
  <si>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</si>
  <si>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</si>
  <si>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</si>
  <si>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</si>
  <si>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</si>
  <si>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</si>
  <si>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</si>
  <si>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</si>
  <si>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</si>
  <si>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</si>
  <si>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</si>
  <si>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</si>
  <si>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</si>
  <si>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</si>
  <si>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</si>
  <si>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سخوز</t>
  </si>
  <si>
    <t>سخوز 2388 تا 411.2</t>
  </si>
  <si>
    <t>شفن 2865 تا 4500.5</t>
  </si>
  <si>
    <t xml:space="preserve">24/11/1397 </t>
  </si>
  <si>
    <t>زفکا</t>
  </si>
  <si>
    <t>زفکا 173 تا 830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</si>
  <si>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</si>
  <si>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</si>
  <si>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</si>
  <si>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</si>
  <si>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</si>
  <si>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</si>
  <si>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</si>
  <si>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</si>
  <si>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</si>
  <si>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</si>
  <si>
    <t>تعداد سکه باقیمانده (3 تا دست مریم، 45 تا بورس مریم، 5 تا دست سارا،  16 تا بورس علی)</t>
  </si>
  <si>
    <t>شاراک 27060 تا 489</t>
  </si>
  <si>
    <t>افق</t>
  </si>
  <si>
    <t xml:space="preserve"> افق</t>
  </si>
  <si>
    <t>افق 84 تا 1695</t>
  </si>
  <si>
    <t>افق 91 تا 1695</t>
  </si>
  <si>
    <t>افق 119 تا 1695</t>
  </si>
  <si>
    <t>فروش 4 عدد سکه بورس مریم</t>
  </si>
  <si>
    <t>41+13</t>
  </si>
  <si>
    <t xml:space="preserve">28/11/1397 </t>
  </si>
  <si>
    <t>تعداد 13 عدد سکه در بورس علی و 41 سکه در بورس مریم متعلق به صندوق نیست 27/11/97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</si>
</sst>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opLeftCell="A19" workbookViewId="0">
      <selection activeCell="B47" sqref="B47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4650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4677</v>
      </c>
      <c r="B5" s="18">
        <v>-200000</v>
      </c>
      <c r="C5" s="18">
        <v>0</v>
      </c>
      <c r="D5" s="113">
        <f t="shared" si="0"/>
        <v>-200000</v>
      </c>
      <c r="E5" s="20" t="s">
        <v>4674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4695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4695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4695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4695</v>
      </c>
      <c r="B10" s="18">
        <v>-51400</v>
      </c>
      <c r="C10" s="18">
        <v>0</v>
      </c>
      <c r="D10" s="113">
        <f t="shared" si="0"/>
        <v>-51400</v>
      </c>
      <c r="E10" s="19" t="s">
        <v>4702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4705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4705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4745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4761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4768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4768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4782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4771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4773</v>
      </c>
      <c r="B22" s="18">
        <v>-324747</v>
      </c>
      <c r="C22" s="18">
        <v>0</v>
      </c>
      <c r="D22" s="113">
        <f t="shared" si="0"/>
        <v>-324747</v>
      </c>
      <c r="E22" s="19" t="s">
        <v>4783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4799</v>
      </c>
      <c r="B23" s="18">
        <v>-297992</v>
      </c>
      <c r="C23" s="18">
        <v>0</v>
      </c>
      <c r="D23" s="113">
        <f t="shared" si="0"/>
        <v>-297992</v>
      </c>
      <c r="E23" s="19" t="s">
        <v>4800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224414</v>
      </c>
      <c r="C32" s="113">
        <f>SUM(C2:C31)</f>
        <v>0</v>
      </c>
      <c r="D32" s="113">
        <f>SUM(D2:D31)</f>
        <v>224414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18596171</v>
      </c>
      <c r="H33" s="18">
        <f>SUM(H2:H31)</f>
        <v>0</v>
      </c>
      <c r="I33" s="18">
        <f>SUM(I2:I31)</f>
        <v>18596171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4675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4716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4743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4746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4770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4780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4781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4784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4793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4801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f>SUM(D38:D60)</f>
        <v>848416</v>
      </c>
      <c r="E61" s="96" t="s">
        <v>6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96"/>
      <c r="E62" s="96" t="s">
        <v>25</v>
      </c>
    </row>
    <row r="63" spans="1:19">
      <c r="D63" s="96"/>
      <c r="E63" s="96" t="s">
        <v>25</v>
      </c>
    </row>
    <row r="64" spans="1:19">
      <c r="D64" s="96"/>
      <c r="E64" s="96" t="s">
        <v>25</v>
      </c>
    </row>
    <row r="65" spans="4:5">
      <c r="D65" s="96"/>
      <c r="E65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293" activePane="bottomLeft" state="frozen"/>
      <selection pane="bottomLeft" activeCell="F314" sqref="F314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1042</v>
      </c>
      <c r="H2" s="36">
        <f>IF(B2&gt;0,1,0)</f>
        <v>1</v>
      </c>
      <c r="I2" s="11">
        <f>B2*(G2-H2)</f>
        <v>17384700</v>
      </c>
      <c r="J2" s="53">
        <f>C2*(G2-H2)</f>
        <v>17384700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1041</v>
      </c>
      <c r="H3" s="36">
        <f t="shared" ref="H3:H66" si="2">IF(B3&gt;0,1,0)</f>
        <v>1</v>
      </c>
      <c r="I3" s="11">
        <f t="shared" ref="I3:I66" si="3">B3*(G3-H3)</f>
        <v>20696000000</v>
      </c>
      <c r="J3" s="53">
        <f t="shared" ref="J3:J66" si="4">C3*(G3-H3)</f>
        <v>11842480000</v>
      </c>
      <c r="K3" s="53">
        <f t="shared" ref="K3:K66" si="5">D3*(G3-H3)</f>
        <v>8853520000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1041</v>
      </c>
      <c r="H4" s="36">
        <f t="shared" si="2"/>
        <v>0</v>
      </c>
      <c r="I4" s="11">
        <f t="shared" si="3"/>
        <v>0</v>
      </c>
      <c r="J4" s="53">
        <f t="shared" si="4"/>
        <v>8848500</v>
      </c>
      <c r="K4" s="53">
        <f t="shared" si="5"/>
        <v>-8848500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1039</v>
      </c>
      <c r="H5" s="36">
        <f t="shared" si="2"/>
        <v>1</v>
      </c>
      <c r="I5" s="11">
        <f t="shared" si="3"/>
        <v>2076000000</v>
      </c>
      <c r="J5" s="53">
        <f t="shared" si="4"/>
        <v>0</v>
      </c>
      <c r="K5" s="53">
        <f t="shared" si="5"/>
        <v>2076000000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1032</v>
      </c>
      <c r="H6" s="36">
        <f t="shared" si="2"/>
        <v>0</v>
      </c>
      <c r="I6" s="11">
        <f t="shared" si="3"/>
        <v>-5160000</v>
      </c>
      <c r="J6" s="53">
        <f t="shared" si="4"/>
        <v>0</v>
      </c>
      <c r="K6" s="53">
        <f t="shared" si="5"/>
        <v>-5160000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1028</v>
      </c>
      <c r="H7" s="36">
        <f t="shared" si="2"/>
        <v>0</v>
      </c>
      <c r="I7" s="11">
        <f t="shared" si="3"/>
        <v>-1234114000</v>
      </c>
      <c r="J7" s="53">
        <f t="shared" si="4"/>
        <v>0</v>
      </c>
      <c r="K7" s="53">
        <f t="shared" si="5"/>
        <v>-1234114000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1027</v>
      </c>
      <c r="H8" s="36">
        <f t="shared" si="2"/>
        <v>0</v>
      </c>
      <c r="I8" s="11">
        <f t="shared" si="3"/>
        <v>-205400000</v>
      </c>
      <c r="J8" s="53">
        <f t="shared" si="4"/>
        <v>0</v>
      </c>
      <c r="K8" s="53">
        <f t="shared" si="5"/>
        <v>-205400000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1025</v>
      </c>
      <c r="H9" s="36">
        <f t="shared" si="2"/>
        <v>0</v>
      </c>
      <c r="I9" s="11">
        <f t="shared" si="3"/>
        <v>-723137500</v>
      </c>
      <c r="J9" s="53">
        <f t="shared" si="4"/>
        <v>0</v>
      </c>
      <c r="K9" s="53">
        <f t="shared" si="5"/>
        <v>-723137500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1016</v>
      </c>
      <c r="H10" s="36">
        <f t="shared" si="2"/>
        <v>0</v>
      </c>
      <c r="I10" s="11">
        <f t="shared" si="3"/>
        <v>-203200000</v>
      </c>
      <c r="J10" s="53">
        <f t="shared" si="4"/>
        <v>0</v>
      </c>
      <c r="K10" s="53">
        <f t="shared" si="5"/>
        <v>-203200000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1016</v>
      </c>
      <c r="H11" s="36">
        <f t="shared" si="2"/>
        <v>1</v>
      </c>
      <c r="I11" s="11">
        <f t="shared" si="3"/>
        <v>1015000000</v>
      </c>
      <c r="J11" s="53">
        <f t="shared" si="4"/>
        <v>0</v>
      </c>
      <c r="K11" s="53">
        <f t="shared" si="5"/>
        <v>1015000000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1012</v>
      </c>
      <c r="H12" s="36">
        <f t="shared" si="2"/>
        <v>0</v>
      </c>
      <c r="I12" s="11">
        <f t="shared" si="3"/>
        <v>-303600000</v>
      </c>
      <c r="J12" s="53">
        <f t="shared" si="4"/>
        <v>0</v>
      </c>
      <c r="K12" s="53">
        <f t="shared" si="5"/>
        <v>-303600000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1007</v>
      </c>
      <c r="H13" s="36">
        <f t="shared" si="2"/>
        <v>0</v>
      </c>
      <c r="I13" s="11">
        <f t="shared" si="3"/>
        <v>-62434000</v>
      </c>
      <c r="J13" s="53">
        <f t="shared" si="4"/>
        <v>0</v>
      </c>
      <c r="K13" s="53">
        <f t="shared" si="5"/>
        <v>-62434000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1007</v>
      </c>
      <c r="H14" s="36">
        <f t="shared" si="2"/>
        <v>1</v>
      </c>
      <c r="I14" s="11">
        <f t="shared" si="3"/>
        <v>2012000000</v>
      </c>
      <c r="J14" s="53">
        <f t="shared" si="4"/>
        <v>0</v>
      </c>
      <c r="K14" s="53">
        <f t="shared" si="5"/>
        <v>2012000000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1006</v>
      </c>
      <c r="H15" s="36">
        <f t="shared" si="2"/>
        <v>1</v>
      </c>
      <c r="I15" s="11">
        <f t="shared" si="3"/>
        <v>1809000000</v>
      </c>
      <c r="J15" s="53">
        <f t="shared" si="4"/>
        <v>0</v>
      </c>
      <c r="K15" s="53">
        <f t="shared" si="5"/>
        <v>1809000000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1006</v>
      </c>
      <c r="H16" s="36">
        <f t="shared" si="2"/>
        <v>0</v>
      </c>
      <c r="I16" s="11">
        <f t="shared" si="3"/>
        <v>-201200000</v>
      </c>
      <c r="J16" s="53">
        <f t="shared" si="4"/>
        <v>0</v>
      </c>
      <c r="K16" s="53">
        <f t="shared" si="5"/>
        <v>-201200000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1002</v>
      </c>
      <c r="H17" s="36">
        <f t="shared" si="2"/>
        <v>0</v>
      </c>
      <c r="I17" s="11">
        <f t="shared" si="3"/>
        <v>-2004000000</v>
      </c>
      <c r="J17" s="53">
        <f t="shared" si="4"/>
        <v>0</v>
      </c>
      <c r="K17" s="53">
        <f t="shared" si="5"/>
        <v>-2004000000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1001</v>
      </c>
      <c r="H18" s="36">
        <f t="shared" si="2"/>
        <v>0</v>
      </c>
      <c r="I18" s="11">
        <f t="shared" si="3"/>
        <v>-300300000</v>
      </c>
      <c r="J18" s="53">
        <f t="shared" si="4"/>
        <v>0</v>
      </c>
      <c r="K18" s="53">
        <f t="shared" si="5"/>
        <v>-300300000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1000</v>
      </c>
      <c r="H19" s="36">
        <f t="shared" si="2"/>
        <v>0</v>
      </c>
      <c r="I19" s="11">
        <f t="shared" si="3"/>
        <v>-200000000</v>
      </c>
      <c r="J19" s="53">
        <f t="shared" si="4"/>
        <v>0</v>
      </c>
      <c r="K19" s="53">
        <f t="shared" si="5"/>
        <v>-200000000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998</v>
      </c>
      <c r="H20" s="36">
        <f t="shared" si="2"/>
        <v>1</v>
      </c>
      <c r="I20" s="11">
        <f t="shared" si="3"/>
        <v>270275733</v>
      </c>
      <c r="J20" s="53">
        <f t="shared" si="4"/>
        <v>147009644</v>
      </c>
      <c r="K20" s="53">
        <f t="shared" si="5"/>
        <v>123266089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996</v>
      </c>
      <c r="H21" s="36">
        <f t="shared" si="2"/>
        <v>0</v>
      </c>
      <c r="I21" s="11">
        <f t="shared" si="3"/>
        <v>-1499677200</v>
      </c>
      <c r="J21" s="53">
        <f t="shared" si="4"/>
        <v>0</v>
      </c>
      <c r="K21" s="53">
        <f t="shared" si="5"/>
        <v>-1499677200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993</v>
      </c>
      <c r="H22" s="36">
        <f t="shared" si="2"/>
        <v>1</v>
      </c>
      <c r="I22" s="11">
        <f t="shared" si="3"/>
        <v>2976000000</v>
      </c>
      <c r="J22" s="53">
        <f t="shared" si="4"/>
        <v>0</v>
      </c>
      <c r="K22" s="53">
        <f t="shared" si="5"/>
        <v>2976000000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992</v>
      </c>
      <c r="H23" s="36">
        <f t="shared" si="2"/>
        <v>1</v>
      </c>
      <c r="I23" s="11">
        <f t="shared" si="3"/>
        <v>991000000</v>
      </c>
      <c r="J23" s="53">
        <f t="shared" si="4"/>
        <v>0</v>
      </c>
      <c r="K23" s="53">
        <f t="shared" si="5"/>
        <v>991000000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991</v>
      </c>
      <c r="H24" s="36">
        <f t="shared" si="2"/>
        <v>0</v>
      </c>
      <c r="I24" s="11">
        <f t="shared" si="3"/>
        <v>-2973891900</v>
      </c>
      <c r="J24" s="53">
        <f t="shared" si="4"/>
        <v>0</v>
      </c>
      <c r="K24" s="53">
        <f t="shared" si="5"/>
        <v>-2973891900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976</v>
      </c>
      <c r="H25" s="36">
        <f t="shared" si="2"/>
        <v>1</v>
      </c>
      <c r="I25" s="11">
        <f t="shared" si="3"/>
        <v>1462500000</v>
      </c>
      <c r="J25" s="53">
        <f t="shared" si="4"/>
        <v>0</v>
      </c>
      <c r="K25" s="53">
        <f t="shared" si="5"/>
        <v>1462500000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968</v>
      </c>
      <c r="H26" s="36">
        <f t="shared" si="2"/>
        <v>0</v>
      </c>
      <c r="I26" s="11">
        <f t="shared" si="3"/>
        <v>-158752000</v>
      </c>
      <c r="J26" s="53">
        <f t="shared" si="4"/>
        <v>0</v>
      </c>
      <c r="K26" s="53">
        <f t="shared" si="5"/>
        <v>-158752000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967</v>
      </c>
      <c r="H27" s="36">
        <f t="shared" si="2"/>
        <v>1</v>
      </c>
      <c r="I27" s="11">
        <f t="shared" si="3"/>
        <v>192613638</v>
      </c>
      <c r="J27" s="53">
        <f t="shared" si="4"/>
        <v>103760958</v>
      </c>
      <c r="K27" s="53">
        <f t="shared" si="5"/>
        <v>88852680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965</v>
      </c>
      <c r="H28" s="36">
        <f t="shared" si="2"/>
        <v>0</v>
      </c>
      <c r="I28" s="11">
        <f t="shared" si="3"/>
        <v>-213265000</v>
      </c>
      <c r="J28" s="53">
        <f t="shared" si="4"/>
        <v>-213265000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965</v>
      </c>
      <c r="H29" s="36">
        <f t="shared" si="2"/>
        <v>0</v>
      </c>
      <c r="I29" s="11">
        <f t="shared" si="3"/>
        <v>-482982500</v>
      </c>
      <c r="J29" s="53">
        <f t="shared" si="4"/>
        <v>0</v>
      </c>
      <c r="K29" s="53">
        <f t="shared" si="5"/>
        <v>-482982500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965</v>
      </c>
      <c r="H30" s="36">
        <f t="shared" si="2"/>
        <v>0</v>
      </c>
      <c r="I30" s="11">
        <f t="shared" si="3"/>
        <v>-14475000000</v>
      </c>
      <c r="J30" s="53">
        <f t="shared" si="4"/>
        <v>-14475000000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948</v>
      </c>
      <c r="H31" s="36">
        <f t="shared" si="2"/>
        <v>0</v>
      </c>
      <c r="I31" s="11">
        <f t="shared" si="3"/>
        <v>-2854333200</v>
      </c>
      <c r="J31" s="53">
        <f t="shared" si="4"/>
        <v>0</v>
      </c>
      <c r="K31" s="53">
        <f t="shared" si="5"/>
        <v>-2854333200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946</v>
      </c>
      <c r="H32" s="36">
        <f t="shared" si="2"/>
        <v>0</v>
      </c>
      <c r="I32" s="11">
        <f t="shared" si="3"/>
        <v>-2843581400</v>
      </c>
      <c r="J32" s="53">
        <f t="shared" si="4"/>
        <v>0</v>
      </c>
      <c r="K32" s="53">
        <f t="shared" si="5"/>
        <v>-2843581400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945</v>
      </c>
      <c r="H33" s="36">
        <f t="shared" si="2"/>
        <v>0</v>
      </c>
      <c r="I33" s="11">
        <f t="shared" si="3"/>
        <v>-846247500</v>
      </c>
      <c r="J33" s="53">
        <f t="shared" si="4"/>
        <v>0</v>
      </c>
      <c r="K33" s="53">
        <f t="shared" si="5"/>
        <v>-846247500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945</v>
      </c>
      <c r="H34" s="36">
        <f t="shared" si="2"/>
        <v>0</v>
      </c>
      <c r="I34" s="11">
        <f t="shared" si="3"/>
        <v>0</v>
      </c>
      <c r="J34" s="53">
        <f t="shared" si="4"/>
        <v>945000000</v>
      </c>
      <c r="K34" s="53">
        <f t="shared" si="5"/>
        <v>-945000000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936</v>
      </c>
      <c r="H35" s="36">
        <f t="shared" si="2"/>
        <v>1</v>
      </c>
      <c r="I35" s="11">
        <f t="shared" si="3"/>
        <v>49061320</v>
      </c>
      <c r="J35" s="53">
        <f t="shared" si="4"/>
        <v>-20254905</v>
      </c>
      <c r="K35" s="53">
        <f t="shared" si="5"/>
        <v>69316225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936</v>
      </c>
      <c r="H36" s="36">
        <f t="shared" si="2"/>
        <v>0</v>
      </c>
      <c r="I36" s="11">
        <f t="shared" si="3"/>
        <v>0</v>
      </c>
      <c r="J36" s="53">
        <f t="shared" si="4"/>
        <v>20276568</v>
      </c>
      <c r="K36" s="53">
        <f t="shared" si="5"/>
        <v>-20276568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926</v>
      </c>
      <c r="H37" s="36">
        <f t="shared" si="2"/>
        <v>0</v>
      </c>
      <c r="I37" s="11">
        <f t="shared" si="3"/>
        <v>-50930000</v>
      </c>
      <c r="J37" s="53">
        <f t="shared" si="4"/>
        <v>0</v>
      </c>
      <c r="K37" s="53">
        <f t="shared" si="5"/>
        <v>-50930000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925</v>
      </c>
      <c r="H38" s="36">
        <f t="shared" si="2"/>
        <v>1</v>
      </c>
      <c r="I38" s="11">
        <f t="shared" si="3"/>
        <v>2772000000</v>
      </c>
      <c r="J38" s="53">
        <f t="shared" si="4"/>
        <v>2772000000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924</v>
      </c>
      <c r="H39" s="36">
        <f t="shared" si="2"/>
        <v>1</v>
      </c>
      <c r="I39" s="11">
        <f t="shared" si="3"/>
        <v>2307500000</v>
      </c>
      <c r="J39" s="53">
        <f t="shared" si="4"/>
        <v>2307500000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924</v>
      </c>
      <c r="H40" s="36">
        <f t="shared" si="2"/>
        <v>0</v>
      </c>
      <c r="I40" s="11">
        <f t="shared" si="3"/>
        <v>-46200000</v>
      </c>
      <c r="J40" s="53">
        <f t="shared" si="4"/>
        <v>0</v>
      </c>
      <c r="K40" s="53">
        <f t="shared" si="5"/>
        <v>-46200000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924</v>
      </c>
      <c r="H41" s="36">
        <f t="shared" si="2"/>
        <v>1</v>
      </c>
      <c r="I41" s="11">
        <f t="shared" si="3"/>
        <v>2769000000</v>
      </c>
      <c r="J41" s="53">
        <f t="shared" si="4"/>
        <v>0</v>
      </c>
      <c r="K41" s="53">
        <f t="shared" si="5"/>
        <v>2769000000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921</v>
      </c>
      <c r="H42" s="36">
        <f t="shared" si="2"/>
        <v>0</v>
      </c>
      <c r="I42" s="11">
        <f t="shared" si="3"/>
        <v>-82153200</v>
      </c>
      <c r="J42" s="53">
        <f t="shared" si="4"/>
        <v>0</v>
      </c>
      <c r="K42" s="53">
        <f t="shared" si="5"/>
        <v>-82153200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917</v>
      </c>
      <c r="H43" s="36">
        <f t="shared" si="2"/>
        <v>0</v>
      </c>
      <c r="I43" s="11">
        <f t="shared" si="3"/>
        <v>-183400000</v>
      </c>
      <c r="J43" s="53">
        <f t="shared" si="4"/>
        <v>0</v>
      </c>
      <c r="K43" s="53">
        <f t="shared" si="5"/>
        <v>-183400000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915</v>
      </c>
      <c r="H44" s="36">
        <f t="shared" si="2"/>
        <v>0</v>
      </c>
      <c r="I44" s="11">
        <f t="shared" si="3"/>
        <v>-183000000</v>
      </c>
      <c r="J44" s="53">
        <f t="shared" si="4"/>
        <v>0</v>
      </c>
      <c r="K44" s="53">
        <f t="shared" si="5"/>
        <v>-183000000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915</v>
      </c>
      <c r="H45" s="36">
        <f t="shared" si="2"/>
        <v>0</v>
      </c>
      <c r="I45" s="11">
        <f t="shared" si="3"/>
        <v>-512400000</v>
      </c>
      <c r="J45" s="53">
        <f t="shared" si="4"/>
        <v>0</v>
      </c>
      <c r="K45" s="53">
        <f t="shared" si="5"/>
        <v>-512400000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911</v>
      </c>
      <c r="H46" s="36">
        <f t="shared" si="2"/>
        <v>0</v>
      </c>
      <c r="I46" s="11">
        <f t="shared" si="3"/>
        <v>-642710500</v>
      </c>
      <c r="J46" s="53">
        <f t="shared" si="4"/>
        <v>0</v>
      </c>
      <c r="K46" s="53">
        <f t="shared" si="5"/>
        <v>-642710500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905</v>
      </c>
      <c r="H47" s="36">
        <f t="shared" si="2"/>
        <v>1</v>
      </c>
      <c r="I47" s="11">
        <f t="shared" si="3"/>
        <v>37248416</v>
      </c>
      <c r="J47" s="53">
        <f t="shared" si="4"/>
        <v>6068552</v>
      </c>
      <c r="K47" s="53">
        <f t="shared" si="5"/>
        <v>31179864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905</v>
      </c>
      <c r="H48" s="36">
        <f t="shared" si="2"/>
        <v>1</v>
      </c>
      <c r="I48" s="11">
        <f t="shared" si="3"/>
        <v>1541048800</v>
      </c>
      <c r="J48" s="53">
        <f t="shared" si="4"/>
        <v>0</v>
      </c>
      <c r="K48" s="53">
        <f t="shared" si="5"/>
        <v>1541048800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896</v>
      </c>
      <c r="H49" s="36">
        <f t="shared" si="2"/>
        <v>0</v>
      </c>
      <c r="I49" s="11">
        <f t="shared" si="3"/>
        <v>-138880000</v>
      </c>
      <c r="J49" s="53">
        <f t="shared" si="4"/>
        <v>0</v>
      </c>
      <c r="K49" s="53">
        <f t="shared" si="5"/>
        <v>-138880000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896</v>
      </c>
      <c r="H50" s="36">
        <f t="shared" si="2"/>
        <v>0</v>
      </c>
      <c r="I50" s="11">
        <f t="shared" si="3"/>
        <v>-123648000</v>
      </c>
      <c r="J50" s="53">
        <f t="shared" si="4"/>
        <v>0</v>
      </c>
      <c r="K50" s="53">
        <f t="shared" si="5"/>
        <v>-123648000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896</v>
      </c>
      <c r="H51" s="36">
        <f t="shared" si="2"/>
        <v>0</v>
      </c>
      <c r="I51" s="11">
        <f t="shared" si="3"/>
        <v>-663040000</v>
      </c>
      <c r="J51" s="53">
        <f t="shared" si="4"/>
        <v>0</v>
      </c>
      <c r="K51" s="53">
        <f t="shared" si="5"/>
        <v>-663040000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896</v>
      </c>
      <c r="H52" s="36">
        <f t="shared" si="2"/>
        <v>0</v>
      </c>
      <c r="I52" s="11">
        <f t="shared" si="3"/>
        <v>-179200000</v>
      </c>
      <c r="J52" s="53">
        <f t="shared" si="4"/>
        <v>0</v>
      </c>
      <c r="K52" s="53">
        <f t="shared" si="5"/>
        <v>-179200000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895</v>
      </c>
      <c r="H53" s="36">
        <f t="shared" si="2"/>
        <v>0</v>
      </c>
      <c r="I53" s="11">
        <f t="shared" si="3"/>
        <v>-944225000</v>
      </c>
      <c r="J53" s="53">
        <f t="shared" si="4"/>
        <v>0</v>
      </c>
      <c r="K53" s="53">
        <f t="shared" si="5"/>
        <v>-944225000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895</v>
      </c>
      <c r="H54" s="36">
        <f t="shared" si="2"/>
        <v>0</v>
      </c>
      <c r="I54" s="11">
        <f t="shared" si="3"/>
        <v>-179000000</v>
      </c>
      <c r="J54" s="53">
        <f t="shared" si="4"/>
        <v>0</v>
      </c>
      <c r="K54" s="53">
        <f t="shared" si="5"/>
        <v>-179000000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895</v>
      </c>
      <c r="H55" s="36">
        <f t="shared" si="2"/>
        <v>0</v>
      </c>
      <c r="I55" s="11">
        <f t="shared" si="3"/>
        <v>-895447500</v>
      </c>
      <c r="J55" s="53">
        <f t="shared" si="4"/>
        <v>0</v>
      </c>
      <c r="K55" s="53">
        <f t="shared" si="5"/>
        <v>-895447500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895</v>
      </c>
      <c r="H56" s="36">
        <f t="shared" si="2"/>
        <v>0</v>
      </c>
      <c r="I56" s="11">
        <f t="shared" si="3"/>
        <v>-34010000</v>
      </c>
      <c r="J56" s="53">
        <f t="shared" si="4"/>
        <v>0</v>
      </c>
      <c r="K56" s="53">
        <f t="shared" si="5"/>
        <v>-34010000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895</v>
      </c>
      <c r="H57" s="36">
        <f t="shared" si="2"/>
        <v>0</v>
      </c>
      <c r="I57" s="11">
        <f t="shared" si="3"/>
        <v>-93975000</v>
      </c>
      <c r="J57" s="53">
        <f t="shared" si="4"/>
        <v>0</v>
      </c>
      <c r="K57" s="53">
        <f t="shared" si="5"/>
        <v>-93975000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895</v>
      </c>
      <c r="H58" s="36">
        <f t="shared" si="2"/>
        <v>0</v>
      </c>
      <c r="I58" s="11">
        <f t="shared" si="3"/>
        <v>-53700000</v>
      </c>
      <c r="J58" s="53">
        <f t="shared" si="4"/>
        <v>0</v>
      </c>
      <c r="K58" s="53">
        <f t="shared" si="5"/>
        <v>-53700000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892</v>
      </c>
      <c r="H59" s="36">
        <f t="shared" si="2"/>
        <v>1</v>
      </c>
      <c r="I59" s="11">
        <f t="shared" si="3"/>
        <v>891000000</v>
      </c>
      <c r="J59" s="53">
        <f t="shared" si="4"/>
        <v>891000000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891</v>
      </c>
      <c r="H60" s="36">
        <f t="shared" si="2"/>
        <v>1</v>
      </c>
      <c r="I60" s="11">
        <f t="shared" si="3"/>
        <v>3115000000</v>
      </c>
      <c r="J60" s="53">
        <f t="shared" si="4"/>
        <v>3115000000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889</v>
      </c>
      <c r="H61" s="36">
        <f t="shared" si="2"/>
        <v>1</v>
      </c>
      <c r="I61" s="11">
        <f t="shared" si="3"/>
        <v>888000000</v>
      </c>
      <c r="J61" s="53">
        <f t="shared" si="4"/>
        <v>888000000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889</v>
      </c>
      <c r="H62" s="36">
        <f t="shared" si="2"/>
        <v>1</v>
      </c>
      <c r="I62" s="11">
        <f t="shared" si="3"/>
        <v>2664000000</v>
      </c>
      <c r="J62" s="53">
        <f t="shared" si="4"/>
        <v>2664000000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887</v>
      </c>
      <c r="H63" s="36">
        <f t="shared" si="2"/>
        <v>0</v>
      </c>
      <c r="I63" s="11">
        <f t="shared" si="3"/>
        <v>-177400000</v>
      </c>
      <c r="J63" s="53">
        <f t="shared" si="4"/>
        <v>0</v>
      </c>
      <c r="K63" s="53">
        <f t="shared" si="5"/>
        <v>-177400000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882</v>
      </c>
      <c r="H64" s="36">
        <f t="shared" si="2"/>
        <v>0</v>
      </c>
      <c r="I64" s="11">
        <f t="shared" si="3"/>
        <v>-44100000</v>
      </c>
      <c r="J64" s="53">
        <f t="shared" si="4"/>
        <v>0</v>
      </c>
      <c r="K64" s="53">
        <f t="shared" si="5"/>
        <v>-44100000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878</v>
      </c>
      <c r="H65" s="36">
        <f t="shared" si="2"/>
        <v>0</v>
      </c>
      <c r="I65" s="11">
        <f t="shared" si="3"/>
        <v>-175600000</v>
      </c>
      <c r="J65" s="53">
        <f t="shared" si="4"/>
        <v>0</v>
      </c>
      <c r="K65" s="53">
        <f t="shared" si="5"/>
        <v>-175600000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875</v>
      </c>
      <c r="H66" s="36">
        <f t="shared" si="2"/>
        <v>0</v>
      </c>
      <c r="I66" s="11">
        <f t="shared" si="3"/>
        <v>-148750000</v>
      </c>
      <c r="J66" s="53">
        <f t="shared" si="4"/>
        <v>0</v>
      </c>
      <c r="K66" s="53">
        <f t="shared" si="5"/>
        <v>-148750000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874</v>
      </c>
      <c r="H67" s="36">
        <f t="shared" ref="H67:H131" si="8">IF(B67&gt;0,1,0)</f>
        <v>1</v>
      </c>
      <c r="I67" s="11">
        <f t="shared" ref="I67:I119" si="9">B67*(G67-H67)</f>
        <v>79726725</v>
      </c>
      <c r="J67" s="53">
        <f t="shared" ref="J67:J131" si="10">C67*(G67-H67)</f>
        <v>57376179</v>
      </c>
      <c r="K67" s="53">
        <f t="shared" ref="K67:K131" si="11">D67*(G67-H67)</f>
        <v>22350546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856</v>
      </c>
      <c r="H68" s="36">
        <f t="shared" si="8"/>
        <v>0</v>
      </c>
      <c r="I68" s="11">
        <f t="shared" si="9"/>
        <v>-124120000</v>
      </c>
      <c r="J68" s="53">
        <f t="shared" si="10"/>
        <v>0</v>
      </c>
      <c r="K68" s="53">
        <f t="shared" si="11"/>
        <v>-124120000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849</v>
      </c>
      <c r="H69" s="36">
        <f t="shared" si="8"/>
        <v>1</v>
      </c>
      <c r="I69" s="11">
        <f t="shared" si="9"/>
        <v>831040000</v>
      </c>
      <c r="J69" s="53">
        <f t="shared" si="10"/>
        <v>0</v>
      </c>
      <c r="K69" s="53">
        <f t="shared" si="11"/>
        <v>831040000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846</v>
      </c>
      <c r="H70" s="36">
        <f t="shared" si="8"/>
        <v>0</v>
      </c>
      <c r="I70" s="11">
        <f t="shared" si="9"/>
        <v>-38916000</v>
      </c>
      <c r="J70" s="53">
        <f t="shared" si="10"/>
        <v>0</v>
      </c>
      <c r="K70" s="53">
        <f t="shared" si="11"/>
        <v>-38916000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844</v>
      </c>
      <c r="H71" s="36">
        <f t="shared" si="8"/>
        <v>1</v>
      </c>
      <c r="I71" s="11">
        <f t="shared" si="9"/>
        <v>97229934</v>
      </c>
      <c r="J71" s="53">
        <f t="shared" si="10"/>
        <v>87513516</v>
      </c>
      <c r="K71" s="53">
        <f t="shared" si="11"/>
        <v>9716418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843</v>
      </c>
      <c r="H72" s="36">
        <f t="shared" si="8"/>
        <v>0</v>
      </c>
      <c r="I72" s="11">
        <f t="shared" si="9"/>
        <v>-128109867</v>
      </c>
      <c r="J72" s="53">
        <f t="shared" si="10"/>
        <v>0</v>
      </c>
      <c r="K72" s="53">
        <f t="shared" si="11"/>
        <v>-128109867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842</v>
      </c>
      <c r="H73" s="36">
        <f t="shared" si="8"/>
        <v>0</v>
      </c>
      <c r="I73" s="11">
        <f t="shared" si="9"/>
        <v>-678231000</v>
      </c>
      <c r="J73" s="53">
        <f t="shared" si="10"/>
        <v>0</v>
      </c>
      <c r="K73" s="53">
        <f t="shared" si="11"/>
        <v>-678231000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835</v>
      </c>
      <c r="H74" s="36">
        <f t="shared" si="8"/>
        <v>1</v>
      </c>
      <c r="I74" s="11">
        <f t="shared" si="9"/>
        <v>5833830000</v>
      </c>
      <c r="J74" s="53">
        <f t="shared" si="10"/>
        <v>0</v>
      </c>
      <c r="K74" s="53">
        <f t="shared" si="11"/>
        <v>5833830000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834</v>
      </c>
      <c r="H75" s="36">
        <f t="shared" si="8"/>
        <v>1</v>
      </c>
      <c r="I75" s="11">
        <f t="shared" si="9"/>
        <v>2499000000</v>
      </c>
      <c r="J75" s="53">
        <f t="shared" si="10"/>
        <v>0</v>
      </c>
      <c r="K75" s="53">
        <f t="shared" si="11"/>
        <v>2499000000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832</v>
      </c>
      <c r="H76" s="36">
        <f t="shared" si="8"/>
        <v>1</v>
      </c>
      <c r="I76" s="11">
        <f t="shared" si="9"/>
        <v>2493000000</v>
      </c>
      <c r="J76" s="53">
        <f t="shared" si="10"/>
        <v>0</v>
      </c>
      <c r="K76" s="53">
        <f t="shared" si="11"/>
        <v>2493000000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831</v>
      </c>
      <c r="H77" s="36">
        <f t="shared" si="8"/>
        <v>1</v>
      </c>
      <c r="I77" s="11">
        <f t="shared" si="9"/>
        <v>2490000000</v>
      </c>
      <c r="J77" s="53">
        <f t="shared" si="10"/>
        <v>0</v>
      </c>
      <c r="K77" s="53">
        <f t="shared" si="11"/>
        <v>2490000000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830</v>
      </c>
      <c r="H78" s="36">
        <f t="shared" si="8"/>
        <v>0</v>
      </c>
      <c r="I78" s="11">
        <f t="shared" si="9"/>
        <v>-2656000000</v>
      </c>
      <c r="J78" s="53">
        <f t="shared" si="10"/>
        <v>-2656000000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829</v>
      </c>
      <c r="H79" s="36">
        <f t="shared" si="8"/>
        <v>0</v>
      </c>
      <c r="I79" s="11">
        <f t="shared" si="9"/>
        <v>-663200000</v>
      </c>
      <c r="J79" s="53">
        <f t="shared" si="10"/>
        <v>-663200000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828</v>
      </c>
      <c r="H80" s="36">
        <f t="shared" si="8"/>
        <v>0</v>
      </c>
      <c r="I80" s="11">
        <f t="shared" si="9"/>
        <v>-40069404</v>
      </c>
      <c r="J80" s="53">
        <f t="shared" si="10"/>
        <v>0</v>
      </c>
      <c r="K80" s="53">
        <f t="shared" si="11"/>
        <v>-40069404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827</v>
      </c>
      <c r="H81" s="36">
        <f t="shared" si="8"/>
        <v>0</v>
      </c>
      <c r="I81" s="11">
        <f t="shared" si="9"/>
        <v>-115780000</v>
      </c>
      <c r="J81" s="53">
        <f t="shared" si="10"/>
        <v>0</v>
      </c>
      <c r="K81" s="53">
        <f t="shared" si="11"/>
        <v>-115780000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826</v>
      </c>
      <c r="H82" s="36">
        <f t="shared" si="8"/>
        <v>0</v>
      </c>
      <c r="I82" s="11">
        <f t="shared" si="9"/>
        <v>-206500000</v>
      </c>
      <c r="J82" s="53">
        <f t="shared" si="10"/>
        <v>0</v>
      </c>
      <c r="K82" s="53">
        <f t="shared" si="11"/>
        <v>-206500000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825</v>
      </c>
      <c r="H83" s="36">
        <f t="shared" si="8"/>
        <v>0</v>
      </c>
      <c r="I83" s="11">
        <f t="shared" si="9"/>
        <v>-165000000</v>
      </c>
      <c r="J83" s="53">
        <f t="shared" si="10"/>
        <v>0</v>
      </c>
      <c r="K83" s="53">
        <f t="shared" si="11"/>
        <v>-165000000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822</v>
      </c>
      <c r="H84" s="36">
        <f t="shared" si="8"/>
        <v>1</v>
      </c>
      <c r="I84" s="11">
        <f t="shared" si="9"/>
        <v>1342499200</v>
      </c>
      <c r="J84" s="53">
        <f t="shared" si="10"/>
        <v>0</v>
      </c>
      <c r="K84" s="53">
        <f t="shared" si="11"/>
        <v>1342499200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818</v>
      </c>
      <c r="H85" s="36">
        <f t="shared" si="8"/>
        <v>1</v>
      </c>
      <c r="I85" s="11">
        <f t="shared" si="9"/>
        <v>2042500000</v>
      </c>
      <c r="J85" s="53">
        <f t="shared" si="10"/>
        <v>0</v>
      </c>
      <c r="K85" s="53">
        <f t="shared" si="11"/>
        <v>2042500000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814</v>
      </c>
      <c r="H86" s="36">
        <f t="shared" si="8"/>
        <v>1</v>
      </c>
      <c r="I86" s="11">
        <f t="shared" si="9"/>
        <v>151461900</v>
      </c>
      <c r="J86" s="53">
        <f t="shared" si="10"/>
        <v>69064350</v>
      </c>
      <c r="K86" s="53">
        <f t="shared" si="11"/>
        <v>82397550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811</v>
      </c>
      <c r="H87" s="36">
        <f t="shared" si="8"/>
        <v>0</v>
      </c>
      <c r="I87" s="11">
        <f t="shared" si="9"/>
        <v>-162200000</v>
      </c>
      <c r="J87" s="53">
        <f t="shared" si="10"/>
        <v>0</v>
      </c>
      <c r="K87" s="53">
        <f t="shared" si="11"/>
        <v>-162200000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810</v>
      </c>
      <c r="H88" s="36">
        <f t="shared" si="8"/>
        <v>0</v>
      </c>
      <c r="I88" s="11">
        <f t="shared" si="9"/>
        <v>-95580000</v>
      </c>
      <c r="J88" s="53">
        <f t="shared" si="10"/>
        <v>-55890000</v>
      </c>
      <c r="K88" s="53">
        <f t="shared" si="11"/>
        <v>-39690000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802</v>
      </c>
      <c r="H89" s="36">
        <f t="shared" si="8"/>
        <v>0</v>
      </c>
      <c r="I89" s="11">
        <f t="shared" si="9"/>
        <v>-2567121800</v>
      </c>
      <c r="J89" s="53">
        <f t="shared" si="10"/>
        <v>0</v>
      </c>
      <c r="K89" s="53">
        <f t="shared" si="11"/>
        <v>-2567121800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801</v>
      </c>
      <c r="H90" s="36">
        <f t="shared" si="8"/>
        <v>0</v>
      </c>
      <c r="I90" s="11">
        <f t="shared" si="9"/>
        <v>-2563920900</v>
      </c>
      <c r="J90" s="53">
        <f t="shared" si="10"/>
        <v>0</v>
      </c>
      <c r="K90" s="53">
        <f t="shared" si="11"/>
        <v>-2563920900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800</v>
      </c>
      <c r="H91" s="36">
        <f t="shared" si="8"/>
        <v>0</v>
      </c>
      <c r="I91" s="11">
        <f t="shared" si="9"/>
        <v>-2560720000</v>
      </c>
      <c r="J91" s="53">
        <f t="shared" si="10"/>
        <v>0</v>
      </c>
      <c r="K91" s="53">
        <f t="shared" si="11"/>
        <v>-2560720000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799</v>
      </c>
      <c r="H92" s="36">
        <f t="shared" si="8"/>
        <v>0</v>
      </c>
      <c r="I92" s="11">
        <f t="shared" si="9"/>
        <v>-2557519100</v>
      </c>
      <c r="J92" s="53">
        <f t="shared" si="10"/>
        <v>0</v>
      </c>
      <c r="K92" s="53">
        <f t="shared" si="11"/>
        <v>-2557519100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798</v>
      </c>
      <c r="H93" s="36">
        <f t="shared" si="8"/>
        <v>0</v>
      </c>
      <c r="I93" s="11">
        <f t="shared" si="9"/>
        <v>-2554318200</v>
      </c>
      <c r="J93" s="53">
        <f t="shared" si="10"/>
        <v>0</v>
      </c>
      <c r="K93" s="53">
        <f t="shared" si="11"/>
        <v>-2554318200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797</v>
      </c>
      <c r="H94" s="36">
        <f t="shared" si="8"/>
        <v>0</v>
      </c>
      <c r="I94" s="11">
        <f t="shared" si="9"/>
        <v>-2551117300</v>
      </c>
      <c r="J94" s="53">
        <f t="shared" si="10"/>
        <v>0</v>
      </c>
      <c r="K94" s="53">
        <f t="shared" si="11"/>
        <v>-2551117300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795</v>
      </c>
      <c r="H95" s="36">
        <f t="shared" si="8"/>
        <v>0</v>
      </c>
      <c r="I95" s="11">
        <f t="shared" si="9"/>
        <v>-951293820</v>
      </c>
      <c r="J95" s="53">
        <f t="shared" si="10"/>
        <v>0</v>
      </c>
      <c r="K95" s="53">
        <f t="shared" si="11"/>
        <v>-951293820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785</v>
      </c>
      <c r="H96" s="36">
        <f t="shared" si="8"/>
        <v>0</v>
      </c>
      <c r="I96" s="11">
        <f t="shared" si="9"/>
        <v>-157000000</v>
      </c>
      <c r="J96" s="53">
        <f t="shared" si="10"/>
        <v>0</v>
      </c>
      <c r="K96" s="53">
        <f t="shared" si="11"/>
        <v>-157000000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784</v>
      </c>
      <c r="H97" s="36">
        <f t="shared" si="8"/>
        <v>1</v>
      </c>
      <c r="I97" s="11">
        <f t="shared" si="9"/>
        <v>124933914</v>
      </c>
      <c r="J97" s="53">
        <f t="shared" si="10"/>
        <v>53969058</v>
      </c>
      <c r="K97" s="53">
        <f t="shared" si="11"/>
        <v>70964856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779</v>
      </c>
      <c r="H98" s="36">
        <f t="shared" si="8"/>
        <v>1</v>
      </c>
      <c r="I98" s="11">
        <f t="shared" si="9"/>
        <v>88978304</v>
      </c>
      <c r="J98" s="53">
        <f t="shared" si="10"/>
        <v>0</v>
      </c>
      <c r="K98" s="53">
        <f t="shared" si="11"/>
        <v>88978304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776</v>
      </c>
      <c r="H99" s="36">
        <f t="shared" si="8"/>
        <v>0</v>
      </c>
      <c r="I99" s="11">
        <f t="shared" si="9"/>
        <v>-1028200000</v>
      </c>
      <c r="J99" s="53">
        <f t="shared" si="10"/>
        <v>0</v>
      </c>
      <c r="K99" s="53">
        <f t="shared" si="11"/>
        <v>-1028200000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771</v>
      </c>
      <c r="H100" s="36">
        <f t="shared" si="8"/>
        <v>1</v>
      </c>
      <c r="I100" s="11">
        <f t="shared" si="9"/>
        <v>1020250000</v>
      </c>
      <c r="J100" s="53">
        <f t="shared" si="10"/>
        <v>0</v>
      </c>
      <c r="K100" s="53">
        <f t="shared" si="11"/>
        <v>1020250000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754</v>
      </c>
      <c r="H101" s="36">
        <f t="shared" si="8"/>
        <v>1</v>
      </c>
      <c r="I101" s="11">
        <f t="shared" si="9"/>
        <v>50334285</v>
      </c>
      <c r="J101" s="53">
        <f t="shared" si="10"/>
        <v>50334285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751</v>
      </c>
      <c r="H102" s="36">
        <f t="shared" si="8"/>
        <v>1</v>
      </c>
      <c r="I102" s="11">
        <f t="shared" si="9"/>
        <v>2250000000</v>
      </c>
      <c r="J102" s="53">
        <f t="shared" si="10"/>
        <v>0</v>
      </c>
      <c r="K102" s="53">
        <f t="shared" si="11"/>
        <v>2250000000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744</v>
      </c>
      <c r="H103" s="36">
        <f t="shared" si="8"/>
        <v>0</v>
      </c>
      <c r="I103" s="11">
        <f t="shared" si="9"/>
        <v>-744000000</v>
      </c>
      <c r="J103" s="53">
        <f t="shared" si="10"/>
        <v>-744000000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734</v>
      </c>
      <c r="H104" s="36">
        <f t="shared" si="8"/>
        <v>1</v>
      </c>
      <c r="I104" s="11">
        <f t="shared" si="9"/>
        <v>2199000000</v>
      </c>
      <c r="J104" s="53">
        <f t="shared" si="10"/>
        <v>2199000000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733</v>
      </c>
      <c r="H105" s="36">
        <f t="shared" si="8"/>
        <v>1</v>
      </c>
      <c r="I105" s="11">
        <f t="shared" si="9"/>
        <v>819840000</v>
      </c>
      <c r="J105" s="53">
        <f t="shared" si="10"/>
        <v>819840000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733</v>
      </c>
      <c r="H106" s="36">
        <f t="shared" si="8"/>
        <v>0</v>
      </c>
      <c r="I106" s="11">
        <f t="shared" si="9"/>
        <v>-2199000000</v>
      </c>
      <c r="J106" s="53">
        <f t="shared" si="10"/>
        <v>0</v>
      </c>
      <c r="K106" s="53">
        <f t="shared" si="11"/>
        <v>-2199000000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724</v>
      </c>
      <c r="H107" s="36">
        <f t="shared" si="8"/>
        <v>1</v>
      </c>
      <c r="I107" s="11">
        <f t="shared" si="9"/>
        <v>65427162</v>
      </c>
      <c r="J107" s="53">
        <f t="shared" si="10"/>
        <v>54308145</v>
      </c>
      <c r="K107" s="53">
        <f t="shared" si="11"/>
        <v>11119017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722</v>
      </c>
      <c r="H108" s="36">
        <f t="shared" si="8"/>
        <v>0</v>
      </c>
      <c r="I108" s="11">
        <f t="shared" si="9"/>
        <v>-1227905400</v>
      </c>
      <c r="J108" s="53">
        <f t="shared" si="10"/>
        <v>0</v>
      </c>
      <c r="K108" s="53">
        <f t="shared" si="11"/>
        <v>-1227905400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718</v>
      </c>
      <c r="H109" s="36">
        <f t="shared" si="8"/>
        <v>0</v>
      </c>
      <c r="I109" s="11">
        <f t="shared" si="9"/>
        <v>-718359000</v>
      </c>
      <c r="J109" s="53">
        <f t="shared" si="10"/>
        <v>0</v>
      </c>
      <c r="K109" s="53">
        <f t="shared" si="11"/>
        <v>-718359000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715</v>
      </c>
      <c r="H110" s="36">
        <f t="shared" si="8"/>
        <v>1</v>
      </c>
      <c r="I110" s="11">
        <f t="shared" si="9"/>
        <v>14280000000</v>
      </c>
      <c r="J110" s="53">
        <f t="shared" si="10"/>
        <v>0</v>
      </c>
      <c r="K110" s="53">
        <f t="shared" si="11"/>
        <v>14280000000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695</v>
      </c>
      <c r="H111" s="36">
        <f t="shared" si="8"/>
        <v>1</v>
      </c>
      <c r="I111" s="11">
        <f t="shared" si="9"/>
        <v>121226532</v>
      </c>
      <c r="J111" s="53">
        <f t="shared" si="10"/>
        <v>60629922</v>
      </c>
      <c r="K111" s="53">
        <f t="shared" si="11"/>
        <v>60596610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679</v>
      </c>
      <c r="H112" s="36">
        <f t="shared" si="8"/>
        <v>0</v>
      </c>
      <c r="I112" s="11">
        <f t="shared" si="9"/>
        <v>-19283600000</v>
      </c>
      <c r="J112" s="53">
        <f t="shared" si="10"/>
        <v>0</v>
      </c>
      <c r="K112" s="53">
        <f t="shared" si="11"/>
        <v>-19283600000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664</v>
      </c>
      <c r="H113" s="36">
        <f t="shared" si="8"/>
        <v>1</v>
      </c>
      <c r="I113" s="11">
        <f t="shared" si="9"/>
        <v>108095520</v>
      </c>
      <c r="J113" s="53">
        <f t="shared" si="10"/>
        <v>81224793</v>
      </c>
      <c r="K113" s="53">
        <f t="shared" si="11"/>
        <v>26870727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664</v>
      </c>
      <c r="H114" s="36">
        <f t="shared" si="8"/>
        <v>0</v>
      </c>
      <c r="I114" s="11">
        <f t="shared" si="9"/>
        <v>-3784800</v>
      </c>
      <c r="J114" s="53">
        <f t="shared" si="10"/>
        <v>-1660000</v>
      </c>
      <c r="K114" s="53">
        <f t="shared" si="11"/>
        <v>-2124800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651</v>
      </c>
      <c r="H115" s="36">
        <f t="shared" si="8"/>
        <v>0</v>
      </c>
      <c r="I115" s="11">
        <f t="shared" si="9"/>
        <v>0</v>
      </c>
      <c r="J115" s="53">
        <f t="shared" si="10"/>
        <v>325500000</v>
      </c>
      <c r="K115" s="53">
        <f t="shared" si="11"/>
        <v>-325500000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643</v>
      </c>
      <c r="H116" s="36">
        <f t="shared" si="8"/>
        <v>0</v>
      </c>
      <c r="I116" s="11">
        <f t="shared" si="9"/>
        <v>-102880000</v>
      </c>
      <c r="J116" s="53">
        <f t="shared" si="10"/>
        <v>0</v>
      </c>
      <c r="K116" s="53">
        <f t="shared" si="11"/>
        <v>-102880000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634</v>
      </c>
      <c r="H117" s="36">
        <f t="shared" si="8"/>
        <v>1</v>
      </c>
      <c r="I117" s="11">
        <f t="shared" si="9"/>
        <v>936840</v>
      </c>
      <c r="J117" s="53">
        <f t="shared" si="10"/>
        <v>67693653</v>
      </c>
      <c r="K117" s="53">
        <f t="shared" si="11"/>
        <v>-66756813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612</v>
      </c>
      <c r="H118" s="36">
        <f t="shared" si="8"/>
        <v>1</v>
      </c>
      <c r="I118" s="11">
        <f t="shared" si="9"/>
        <v>24073094500</v>
      </c>
      <c r="J118" s="53">
        <f t="shared" si="10"/>
        <v>0</v>
      </c>
      <c r="K118" s="53">
        <f t="shared" si="11"/>
        <v>24073094500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603</v>
      </c>
      <c r="H119" s="36">
        <f t="shared" si="8"/>
        <v>1</v>
      </c>
      <c r="I119" s="11">
        <f t="shared" si="9"/>
        <v>57503642</v>
      </c>
      <c r="J119" s="53">
        <f t="shared" si="10"/>
        <v>66252508</v>
      </c>
      <c r="K119" s="53">
        <f t="shared" si="11"/>
        <v>-8748866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599</v>
      </c>
      <c r="H120" s="11">
        <f t="shared" si="8"/>
        <v>1</v>
      </c>
      <c r="I120" s="11">
        <f t="shared" ref="I120:I296" si="13">B120*(G120-H120)</f>
        <v>1196000000</v>
      </c>
      <c r="J120" s="11">
        <f t="shared" si="10"/>
        <v>0</v>
      </c>
      <c r="K120" s="11">
        <f t="shared" si="11"/>
        <v>1196000000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573</v>
      </c>
      <c r="H121" s="11">
        <f t="shared" si="8"/>
        <v>1</v>
      </c>
      <c r="I121" s="11">
        <f t="shared" si="13"/>
        <v>1487200000</v>
      </c>
      <c r="J121" s="11">
        <f t="shared" si="10"/>
        <v>0</v>
      </c>
      <c r="K121" s="11">
        <f t="shared" si="11"/>
        <v>1487200000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572</v>
      </c>
      <c r="H122" s="11">
        <f t="shared" si="8"/>
        <v>1</v>
      </c>
      <c r="I122" s="11">
        <f t="shared" si="13"/>
        <v>219578621</v>
      </c>
      <c r="J122" s="11">
        <f t="shared" si="10"/>
        <v>63328468</v>
      </c>
      <c r="K122" s="11">
        <f t="shared" si="11"/>
        <v>156250153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571</v>
      </c>
      <c r="H123" s="11">
        <f t="shared" si="8"/>
        <v>0</v>
      </c>
      <c r="I123" s="11">
        <f t="shared" si="13"/>
        <v>0</v>
      </c>
      <c r="J123" s="11">
        <f t="shared" si="10"/>
        <v>456800000</v>
      </c>
      <c r="K123" s="11">
        <f t="shared" si="11"/>
        <v>-456800000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557</v>
      </c>
      <c r="H124" s="11">
        <f t="shared" si="8"/>
        <v>0</v>
      </c>
      <c r="I124" s="11">
        <f t="shared" si="13"/>
        <v>-1671000000</v>
      </c>
      <c r="J124" s="11">
        <f t="shared" si="10"/>
        <v>0</v>
      </c>
      <c r="K124" s="11">
        <f t="shared" si="11"/>
        <v>-1671000000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542</v>
      </c>
      <c r="H125" s="11">
        <f t="shared" si="8"/>
        <v>1</v>
      </c>
      <c r="I125" s="11">
        <f t="shared" si="13"/>
        <v>216784110</v>
      </c>
      <c r="J125" s="11">
        <f t="shared" si="10"/>
        <v>64311375</v>
      </c>
      <c r="K125" s="11">
        <f t="shared" si="11"/>
        <v>152472735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542</v>
      </c>
      <c r="H126" s="11">
        <f t="shared" si="8"/>
        <v>1</v>
      </c>
      <c r="I126" s="11">
        <f t="shared" si="13"/>
        <v>22722000000</v>
      </c>
      <c r="J126" s="11">
        <f t="shared" si="10"/>
        <v>0</v>
      </c>
      <c r="K126" s="11">
        <f t="shared" si="11"/>
        <v>22722000000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517</v>
      </c>
      <c r="H127" s="11">
        <f t="shared" si="8"/>
        <v>0</v>
      </c>
      <c r="I127" s="11">
        <f t="shared" si="13"/>
        <v>-2585000</v>
      </c>
      <c r="J127" s="11">
        <f t="shared" si="10"/>
        <v>0</v>
      </c>
      <c r="K127" s="11">
        <f t="shared" si="11"/>
        <v>-2585000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511</v>
      </c>
      <c r="H128" s="11">
        <f t="shared" si="8"/>
        <v>1</v>
      </c>
      <c r="I128" s="11">
        <f t="shared" si="13"/>
        <v>393400740</v>
      </c>
      <c r="J128" s="11">
        <f t="shared" si="10"/>
        <v>61555470</v>
      </c>
      <c r="K128" s="11">
        <f t="shared" si="11"/>
        <v>331845270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508</v>
      </c>
      <c r="H129" s="11">
        <f t="shared" si="8"/>
        <v>1</v>
      </c>
      <c r="I129" s="11">
        <f t="shared" si="13"/>
        <v>1267500000</v>
      </c>
      <c r="J129" s="11">
        <f t="shared" si="10"/>
        <v>0</v>
      </c>
      <c r="K129" s="11">
        <f t="shared" si="11"/>
        <v>1267500000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494</v>
      </c>
      <c r="H130" s="11">
        <f t="shared" si="8"/>
        <v>0</v>
      </c>
      <c r="I130" s="11">
        <f t="shared" si="13"/>
        <v>-494000000</v>
      </c>
      <c r="J130" s="11">
        <f t="shared" si="10"/>
        <v>-494000000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489</v>
      </c>
      <c r="H131" s="11">
        <f t="shared" si="8"/>
        <v>0</v>
      </c>
      <c r="I131" s="11">
        <f t="shared" si="13"/>
        <v>-24450000000</v>
      </c>
      <c r="J131" s="11">
        <f t="shared" si="10"/>
        <v>0</v>
      </c>
      <c r="K131" s="11">
        <f t="shared" si="11"/>
        <v>-24450000000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481</v>
      </c>
      <c r="H132" s="11">
        <f t="shared" ref="H132:H308" si="15">IF(B132&gt;0,1,0)</f>
        <v>1</v>
      </c>
      <c r="I132" s="11">
        <f t="shared" si="13"/>
        <v>294857760</v>
      </c>
      <c r="J132" s="11">
        <f t="shared" ref="J132:J206" si="16">C132*(G132-H132)</f>
        <v>50866080</v>
      </c>
      <c r="K132" s="11">
        <f t="shared" ref="K132:K281" si="17">D132*(G132-H132)</f>
        <v>243991680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477</v>
      </c>
      <c r="H133" s="11">
        <f t="shared" si="15"/>
        <v>0</v>
      </c>
      <c r="I133" s="11">
        <f t="shared" si="13"/>
        <v>-577503900</v>
      </c>
      <c r="J133" s="11">
        <f t="shared" si="16"/>
        <v>0</v>
      </c>
      <c r="K133" s="11">
        <f t="shared" si="17"/>
        <v>-577503900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468</v>
      </c>
      <c r="H134" s="11">
        <f t="shared" si="15"/>
        <v>0</v>
      </c>
      <c r="I134" s="11">
        <f t="shared" si="13"/>
        <v>-30420000</v>
      </c>
      <c r="J134" s="11">
        <f t="shared" si="16"/>
        <v>0</v>
      </c>
      <c r="K134" s="11">
        <f t="shared" si="17"/>
        <v>-30420000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468</v>
      </c>
      <c r="H135" s="11">
        <f t="shared" si="15"/>
        <v>0</v>
      </c>
      <c r="I135" s="11">
        <f t="shared" si="13"/>
        <v>-15116400</v>
      </c>
      <c r="J135" s="11">
        <f t="shared" si="16"/>
        <v>0</v>
      </c>
      <c r="K135" s="11">
        <f t="shared" si="17"/>
        <v>-15116400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460</v>
      </c>
      <c r="H136" s="11">
        <f t="shared" si="15"/>
        <v>0</v>
      </c>
      <c r="I136" s="11">
        <f t="shared" si="13"/>
        <v>-460000000</v>
      </c>
      <c r="J136" s="11">
        <f t="shared" si="16"/>
        <v>-460000000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451</v>
      </c>
      <c r="H137" s="11">
        <f t="shared" si="15"/>
        <v>1</v>
      </c>
      <c r="I137" s="11">
        <f t="shared" si="13"/>
        <v>130892850</v>
      </c>
      <c r="J137" s="11">
        <f t="shared" si="16"/>
        <v>43811550</v>
      </c>
      <c r="K137" s="11">
        <f t="shared" si="17"/>
        <v>87081300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434</v>
      </c>
      <c r="H138" s="11">
        <f t="shared" si="15"/>
        <v>0</v>
      </c>
      <c r="I138" s="11">
        <f t="shared" si="13"/>
        <v>-434217000</v>
      </c>
      <c r="J138" s="11">
        <f t="shared" si="16"/>
        <v>-434217000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422</v>
      </c>
      <c r="H139" s="11">
        <f t="shared" si="15"/>
        <v>1</v>
      </c>
      <c r="I139" s="11">
        <f t="shared" si="13"/>
        <v>118823040</v>
      </c>
      <c r="J139" s="11">
        <f t="shared" si="16"/>
        <v>37387747</v>
      </c>
      <c r="K139" s="11">
        <f t="shared" si="17"/>
        <v>81435293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419</v>
      </c>
      <c r="H140" s="11">
        <f t="shared" si="15"/>
        <v>1</v>
      </c>
      <c r="I140" s="11">
        <f t="shared" si="13"/>
        <v>627000000</v>
      </c>
      <c r="J140" s="11">
        <f t="shared" si="16"/>
        <v>0</v>
      </c>
      <c r="K140" s="11">
        <f t="shared" si="17"/>
        <v>627000000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406</v>
      </c>
      <c r="H141" s="11">
        <f t="shared" si="15"/>
        <v>0</v>
      </c>
      <c r="I141" s="11">
        <f t="shared" si="13"/>
        <v>0</v>
      </c>
      <c r="J141" s="11">
        <f t="shared" si="16"/>
        <v>-406000000</v>
      </c>
      <c r="K141" s="11">
        <f t="shared" si="17"/>
        <v>406000000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392</v>
      </c>
      <c r="H142" s="11">
        <f t="shared" si="15"/>
        <v>1</v>
      </c>
      <c r="I142" s="11">
        <f t="shared" si="13"/>
        <v>113739163</v>
      </c>
      <c r="J142" s="11">
        <f t="shared" si="16"/>
        <v>31679602</v>
      </c>
      <c r="K142" s="11">
        <f t="shared" si="17"/>
        <v>82059561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372</v>
      </c>
      <c r="H143" s="11">
        <f t="shared" si="15"/>
        <v>0</v>
      </c>
      <c r="I143" s="11">
        <f t="shared" si="13"/>
        <v>0</v>
      </c>
      <c r="J143" s="11">
        <f t="shared" si="16"/>
        <v>-372000000</v>
      </c>
      <c r="K143" s="11">
        <f t="shared" si="17"/>
        <v>372000000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362</v>
      </c>
      <c r="H144" s="11">
        <f t="shared" si="15"/>
        <v>1</v>
      </c>
      <c r="I144" s="11">
        <f t="shared" si="13"/>
        <v>106441572</v>
      </c>
      <c r="J144" s="11">
        <f t="shared" si="16"/>
        <v>26951177</v>
      </c>
      <c r="K144" s="11">
        <f t="shared" si="17"/>
        <v>79490395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347</v>
      </c>
      <c r="H145" s="11">
        <f t="shared" si="15"/>
        <v>0</v>
      </c>
      <c r="I145" s="11">
        <f t="shared" si="13"/>
        <v>-3470000</v>
      </c>
      <c r="J145" s="11">
        <f t="shared" si="16"/>
        <v>-1735000</v>
      </c>
      <c r="K145" s="11">
        <f t="shared" si="17"/>
        <v>-1735000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342</v>
      </c>
      <c r="H146" s="11">
        <f t="shared" si="15"/>
        <v>0</v>
      </c>
      <c r="I146" s="11">
        <f t="shared" si="13"/>
        <v>-342171000</v>
      </c>
      <c r="J146" s="11">
        <f t="shared" si="16"/>
        <v>-342171000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336</v>
      </c>
      <c r="H147" s="11">
        <f t="shared" si="15"/>
        <v>0</v>
      </c>
      <c r="I147" s="11">
        <f t="shared" si="13"/>
        <v>-9072000000</v>
      </c>
      <c r="J147" s="11">
        <f t="shared" si="16"/>
        <v>0</v>
      </c>
      <c r="K147" s="11">
        <f t="shared" si="17"/>
        <v>-9072000000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333</v>
      </c>
      <c r="H148" s="11">
        <f t="shared" si="15"/>
        <v>1</v>
      </c>
      <c r="I148" s="11">
        <f t="shared" si="13"/>
        <v>83808752</v>
      </c>
      <c r="J148" s="11">
        <f t="shared" si="16"/>
        <v>21749320</v>
      </c>
      <c r="K148" s="11">
        <f t="shared" si="17"/>
        <v>62059432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325</v>
      </c>
      <c r="H149" s="11">
        <f t="shared" si="15"/>
        <v>1</v>
      </c>
      <c r="I149" s="11">
        <f t="shared" si="13"/>
        <v>16977600000</v>
      </c>
      <c r="J149" s="11">
        <f t="shared" si="16"/>
        <v>0</v>
      </c>
      <c r="K149" s="11">
        <f t="shared" si="17"/>
        <v>16977600000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318</v>
      </c>
      <c r="H150" s="11">
        <f t="shared" si="15"/>
        <v>0</v>
      </c>
      <c r="I150" s="11">
        <f t="shared" si="13"/>
        <v>-16536000000</v>
      </c>
      <c r="J150" s="11">
        <f t="shared" si="16"/>
        <v>0</v>
      </c>
      <c r="K150" s="11">
        <f t="shared" si="17"/>
        <v>-16536000000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313</v>
      </c>
      <c r="H151" s="99">
        <f t="shared" si="15"/>
        <v>0</v>
      </c>
      <c r="I151" s="99">
        <f t="shared" si="13"/>
        <v>-2504000000</v>
      </c>
      <c r="J151" s="99">
        <f t="shared" si="16"/>
        <v>-2119677003</v>
      </c>
      <c r="K151" s="11">
        <f t="shared" si="17"/>
        <v>-384322997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313</v>
      </c>
      <c r="H152" s="99">
        <f t="shared" si="15"/>
        <v>0</v>
      </c>
      <c r="I152" s="99">
        <f t="shared" si="13"/>
        <v>-9774990</v>
      </c>
      <c r="J152" s="99">
        <f t="shared" si="16"/>
        <v>0</v>
      </c>
      <c r="K152" s="99">
        <f t="shared" si="17"/>
        <v>-9774990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302</v>
      </c>
      <c r="H153" s="99">
        <f t="shared" si="15"/>
        <v>1</v>
      </c>
      <c r="I153" s="99">
        <f t="shared" si="13"/>
        <v>40661187</v>
      </c>
      <c r="J153" s="99">
        <f t="shared" si="16"/>
        <v>12380130</v>
      </c>
      <c r="K153" s="99">
        <f t="shared" si="17"/>
        <v>28281057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299</v>
      </c>
      <c r="H154" s="99">
        <f t="shared" si="15"/>
        <v>1</v>
      </c>
      <c r="I154" s="99">
        <f t="shared" si="13"/>
        <v>2033576436</v>
      </c>
      <c r="J154" s="99">
        <f t="shared" si="16"/>
        <v>2033576436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294</v>
      </c>
      <c r="H155" s="99">
        <f t="shared" si="15"/>
        <v>0</v>
      </c>
      <c r="I155" s="99">
        <f t="shared" si="13"/>
        <v>-58800000</v>
      </c>
      <c r="J155" s="99">
        <f t="shared" si="16"/>
        <v>0</v>
      </c>
      <c r="K155" s="99">
        <f t="shared" si="17"/>
        <v>-58800000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294</v>
      </c>
      <c r="H156" s="99">
        <f t="shared" si="15"/>
        <v>0</v>
      </c>
      <c r="I156" s="99">
        <f t="shared" si="13"/>
        <v>-72864960</v>
      </c>
      <c r="J156" s="99">
        <f t="shared" si="16"/>
        <v>0</v>
      </c>
      <c r="K156" s="99">
        <f t="shared" si="17"/>
        <v>-72864960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293</v>
      </c>
      <c r="H157" s="99">
        <f t="shared" si="15"/>
        <v>0</v>
      </c>
      <c r="I157" s="99">
        <f t="shared" si="13"/>
        <v>-47565620</v>
      </c>
      <c r="J157" s="99">
        <f t="shared" si="16"/>
        <v>0</v>
      </c>
      <c r="K157" s="99">
        <f t="shared" si="17"/>
        <v>-47565620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293</v>
      </c>
      <c r="H158" s="99">
        <f t="shared" si="15"/>
        <v>0</v>
      </c>
      <c r="I158" s="99">
        <f t="shared" si="13"/>
        <v>-879263700</v>
      </c>
      <c r="J158" s="99">
        <f t="shared" si="16"/>
        <v>0</v>
      </c>
      <c r="K158" s="99">
        <f t="shared" si="17"/>
        <v>-879263700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291</v>
      </c>
      <c r="H159" s="99">
        <f t="shared" si="15"/>
        <v>0</v>
      </c>
      <c r="I159" s="99">
        <f t="shared" si="13"/>
        <v>-291145500</v>
      </c>
      <c r="J159" s="99">
        <f t="shared" si="16"/>
        <v>0</v>
      </c>
      <c r="K159" s="99">
        <f t="shared" si="17"/>
        <v>-291145500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287</v>
      </c>
      <c r="H160" s="99">
        <f t="shared" si="15"/>
        <v>0</v>
      </c>
      <c r="I160" s="99">
        <f t="shared" si="13"/>
        <v>-28700000</v>
      </c>
      <c r="J160" s="99">
        <f t="shared" si="16"/>
        <v>0</v>
      </c>
      <c r="K160" s="99">
        <f t="shared" si="17"/>
        <v>-28700000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286</v>
      </c>
      <c r="H161" s="99">
        <f t="shared" si="15"/>
        <v>0</v>
      </c>
      <c r="I161" s="99">
        <f t="shared" si="13"/>
        <v>-572000000</v>
      </c>
      <c r="J161" s="99">
        <f t="shared" si="16"/>
        <v>0</v>
      </c>
      <c r="K161" s="99">
        <f t="shared" si="17"/>
        <v>-572000000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286</v>
      </c>
      <c r="H162" s="99">
        <f t="shared" si="15"/>
        <v>0</v>
      </c>
      <c r="I162" s="99">
        <f t="shared" si="13"/>
        <v>-286143000</v>
      </c>
      <c r="J162" s="99">
        <f t="shared" si="16"/>
        <v>0</v>
      </c>
      <c r="K162" s="99">
        <f t="shared" si="17"/>
        <v>-286143000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283</v>
      </c>
      <c r="H163" s="99">
        <f t="shared" si="15"/>
        <v>0</v>
      </c>
      <c r="I163" s="99">
        <f t="shared" si="13"/>
        <v>-1415000</v>
      </c>
      <c r="J163" s="99">
        <f t="shared" si="16"/>
        <v>0</v>
      </c>
      <c r="K163" s="99">
        <f t="shared" si="17"/>
        <v>-1415000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273</v>
      </c>
      <c r="H164" s="99">
        <f t="shared" si="15"/>
        <v>1</v>
      </c>
      <c r="I164" s="99">
        <f t="shared" si="13"/>
        <v>816000000</v>
      </c>
      <c r="J164" s="99">
        <f t="shared" si="16"/>
        <v>0</v>
      </c>
      <c r="K164" s="99">
        <f t="shared" si="17"/>
        <v>816000000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272</v>
      </c>
      <c r="H165" s="99">
        <f t="shared" si="15"/>
        <v>1</v>
      </c>
      <c r="I165" s="99">
        <f t="shared" si="13"/>
        <v>813000000</v>
      </c>
      <c r="J165" s="99">
        <f t="shared" si="16"/>
        <v>0</v>
      </c>
      <c r="K165" s="99">
        <f t="shared" si="17"/>
        <v>813000000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271</v>
      </c>
      <c r="H166" s="99">
        <f t="shared" si="15"/>
        <v>1</v>
      </c>
      <c r="I166" s="99">
        <f t="shared" si="13"/>
        <v>5484780</v>
      </c>
      <c r="J166" s="99">
        <f t="shared" si="16"/>
        <v>16157340</v>
      </c>
      <c r="K166" s="99">
        <f t="shared" si="17"/>
        <v>-10672560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266</v>
      </c>
      <c r="H167" s="99">
        <f t="shared" si="15"/>
        <v>0</v>
      </c>
      <c r="I167" s="99">
        <f t="shared" si="13"/>
        <v>-798239400</v>
      </c>
      <c r="J167" s="99">
        <f t="shared" si="16"/>
        <v>0</v>
      </c>
      <c r="K167" s="99">
        <f t="shared" si="17"/>
        <v>-798239400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248</v>
      </c>
      <c r="H168" s="99">
        <f t="shared" si="15"/>
        <v>0</v>
      </c>
      <c r="I168" s="99">
        <f t="shared" si="13"/>
        <v>-744223200</v>
      </c>
      <c r="J168" s="99">
        <f t="shared" si="16"/>
        <v>0</v>
      </c>
      <c r="K168" s="99">
        <f t="shared" si="17"/>
        <v>-744223200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240</v>
      </c>
      <c r="H169" s="99">
        <f t="shared" si="15"/>
        <v>1</v>
      </c>
      <c r="I169" s="99">
        <f t="shared" si="13"/>
        <v>5187495</v>
      </c>
      <c r="J169" s="99">
        <f t="shared" si="16"/>
        <v>16375085</v>
      </c>
      <c r="K169" s="99">
        <f t="shared" si="17"/>
        <v>-11187590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216</v>
      </c>
      <c r="H170" s="99">
        <f t="shared" si="15"/>
        <v>1</v>
      </c>
      <c r="I170" s="99">
        <f t="shared" si="13"/>
        <v>1075000000</v>
      </c>
      <c r="J170" s="99">
        <f t="shared" si="16"/>
        <v>0</v>
      </c>
      <c r="K170" s="99">
        <f t="shared" si="17"/>
        <v>1075000000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215</v>
      </c>
      <c r="H171" s="99">
        <f t="shared" si="15"/>
        <v>0</v>
      </c>
      <c r="I171" s="99">
        <f t="shared" si="13"/>
        <v>-1075000000</v>
      </c>
      <c r="J171" s="99">
        <f t="shared" si="16"/>
        <v>0</v>
      </c>
      <c r="K171" s="99">
        <f t="shared" si="17"/>
        <v>-1075000000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209</v>
      </c>
      <c r="H172" s="99">
        <f t="shared" si="15"/>
        <v>1</v>
      </c>
      <c r="I172" s="99">
        <f t="shared" si="13"/>
        <v>103168</v>
      </c>
      <c r="J172" s="99">
        <f t="shared" si="16"/>
        <v>13037648</v>
      </c>
      <c r="K172" s="99">
        <f t="shared" si="17"/>
        <v>-12934480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208</v>
      </c>
      <c r="H173" s="99">
        <f t="shared" si="15"/>
        <v>1</v>
      </c>
      <c r="I173" s="99">
        <f t="shared" si="13"/>
        <v>162495000</v>
      </c>
      <c r="J173" s="99">
        <f t="shared" si="16"/>
        <v>0</v>
      </c>
      <c r="K173" s="99">
        <f t="shared" si="17"/>
        <v>162495000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197</v>
      </c>
      <c r="H174" s="99">
        <f t="shared" si="15"/>
        <v>0</v>
      </c>
      <c r="I174" s="99">
        <f t="shared" si="13"/>
        <v>-6304000</v>
      </c>
      <c r="J174" s="99">
        <f t="shared" si="16"/>
        <v>0</v>
      </c>
      <c r="K174" s="99">
        <f t="shared" si="17"/>
        <v>-6304000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195</v>
      </c>
      <c r="H175" s="99">
        <f t="shared" si="15"/>
        <v>0</v>
      </c>
      <c r="I175" s="99">
        <f t="shared" si="13"/>
        <v>-146250000</v>
      </c>
      <c r="J175" s="99">
        <f t="shared" si="16"/>
        <v>0</v>
      </c>
      <c r="K175" s="99">
        <f t="shared" si="17"/>
        <v>-146250000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186</v>
      </c>
      <c r="H176" s="99">
        <f t="shared" si="15"/>
        <v>0</v>
      </c>
      <c r="I176" s="99">
        <f t="shared" si="13"/>
        <v>-1747656</v>
      </c>
      <c r="J176" s="99">
        <f t="shared" si="16"/>
        <v>0</v>
      </c>
      <c r="K176" s="99">
        <f t="shared" si="17"/>
        <v>-1747656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185</v>
      </c>
      <c r="H177" s="99">
        <f t="shared" si="15"/>
        <v>0</v>
      </c>
      <c r="I177" s="99">
        <f t="shared" si="13"/>
        <v>-8010500</v>
      </c>
      <c r="J177" s="99">
        <f t="shared" si="16"/>
        <v>0</v>
      </c>
      <c r="K177" s="99">
        <f t="shared" si="17"/>
        <v>-8010500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182</v>
      </c>
      <c r="H178" s="99">
        <f t="shared" si="15"/>
        <v>1</v>
      </c>
      <c r="I178" s="99">
        <f t="shared" si="13"/>
        <v>65160000</v>
      </c>
      <c r="J178" s="99">
        <f t="shared" si="16"/>
        <v>0</v>
      </c>
      <c r="K178" s="99">
        <f t="shared" si="17"/>
        <v>65160000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180</v>
      </c>
      <c r="H179" s="99">
        <f t="shared" si="15"/>
        <v>1</v>
      </c>
      <c r="I179" s="99">
        <f t="shared" si="13"/>
        <v>537000000</v>
      </c>
      <c r="J179" s="99">
        <f t="shared" si="16"/>
        <v>0</v>
      </c>
      <c r="K179" s="99">
        <f t="shared" si="17"/>
        <v>537000000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180</v>
      </c>
      <c r="H180" s="99">
        <f t="shared" si="15"/>
        <v>0</v>
      </c>
      <c r="I180" s="99">
        <f t="shared" si="13"/>
        <v>-2169000</v>
      </c>
      <c r="J180" s="99">
        <f t="shared" si="16"/>
        <v>0</v>
      </c>
      <c r="K180" s="99">
        <f t="shared" si="17"/>
        <v>-2169000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178</v>
      </c>
      <c r="H181" s="99">
        <f t="shared" si="15"/>
        <v>1</v>
      </c>
      <c r="I181" s="99">
        <f t="shared" si="13"/>
        <v>531000000</v>
      </c>
      <c r="J181" s="99">
        <f t="shared" si="16"/>
        <v>0</v>
      </c>
      <c r="K181" s="99">
        <f t="shared" si="17"/>
        <v>531000000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176</v>
      </c>
      <c r="H182" s="99">
        <f t="shared" si="15"/>
        <v>0</v>
      </c>
      <c r="I182" s="99">
        <f t="shared" si="13"/>
        <v>-6300800</v>
      </c>
      <c r="J182" s="99">
        <f t="shared" si="16"/>
        <v>0</v>
      </c>
      <c r="K182" s="99">
        <f t="shared" si="17"/>
        <v>-6300800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175</v>
      </c>
      <c r="H183" s="99">
        <f t="shared" si="15"/>
        <v>1</v>
      </c>
      <c r="I183" s="99">
        <f t="shared" si="13"/>
        <v>626400000</v>
      </c>
      <c r="J183" s="99">
        <f t="shared" si="16"/>
        <v>0</v>
      </c>
      <c r="K183" s="99">
        <f t="shared" si="17"/>
        <v>626400000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175</v>
      </c>
      <c r="H184" s="99">
        <f t="shared" si="15"/>
        <v>0</v>
      </c>
      <c r="I184" s="99">
        <f t="shared" si="13"/>
        <v>-5840975</v>
      </c>
      <c r="J184" s="99">
        <f t="shared" si="16"/>
        <v>0</v>
      </c>
      <c r="K184" s="99">
        <f t="shared" si="17"/>
        <v>-5840975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172</v>
      </c>
      <c r="H185" s="99">
        <f t="shared" si="15"/>
        <v>0</v>
      </c>
      <c r="I185" s="99">
        <f t="shared" si="13"/>
        <v>-1685600000</v>
      </c>
      <c r="J185" s="99">
        <f t="shared" si="16"/>
        <v>0</v>
      </c>
      <c r="K185" s="99">
        <f t="shared" si="17"/>
        <v>-1685600000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172</v>
      </c>
      <c r="H186" s="99">
        <f t="shared" si="15"/>
        <v>1</v>
      </c>
      <c r="I186" s="99">
        <f t="shared" si="13"/>
        <v>3078000000</v>
      </c>
      <c r="J186" s="99">
        <f t="shared" si="16"/>
        <v>0</v>
      </c>
      <c r="K186" s="99">
        <f t="shared" si="17"/>
        <v>3078000000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172</v>
      </c>
      <c r="H187" s="99">
        <f t="shared" si="15"/>
        <v>0</v>
      </c>
      <c r="I187" s="99">
        <f t="shared" si="13"/>
        <v>-1548000000</v>
      </c>
      <c r="J187" s="99">
        <f t="shared" si="16"/>
        <v>0</v>
      </c>
      <c r="K187" s="99">
        <f t="shared" si="17"/>
        <v>-1548000000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172</v>
      </c>
      <c r="H188" s="99">
        <f t="shared" si="15"/>
        <v>0</v>
      </c>
      <c r="I188" s="99">
        <f t="shared" si="13"/>
        <v>-1995200</v>
      </c>
      <c r="J188" s="99">
        <f t="shared" si="16"/>
        <v>0</v>
      </c>
      <c r="K188" s="99">
        <f t="shared" si="17"/>
        <v>-1995200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172</v>
      </c>
      <c r="H189" s="99">
        <f t="shared" si="15"/>
        <v>0</v>
      </c>
      <c r="I189" s="99">
        <f t="shared" si="13"/>
        <v>-568344244</v>
      </c>
      <c r="J189" s="99">
        <f t="shared" si="16"/>
        <v>0</v>
      </c>
      <c r="K189" s="99">
        <f t="shared" si="17"/>
        <v>-568344244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171</v>
      </c>
      <c r="H190" s="99">
        <f t="shared" si="15"/>
        <v>0</v>
      </c>
      <c r="I190" s="99">
        <f t="shared" si="13"/>
        <v>-513153900</v>
      </c>
      <c r="J190" s="99">
        <f t="shared" si="16"/>
        <v>0</v>
      </c>
      <c r="K190" s="99">
        <f t="shared" si="17"/>
        <v>-513153900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170</v>
      </c>
      <c r="H191" s="99">
        <f t="shared" si="15"/>
        <v>0</v>
      </c>
      <c r="I191" s="99">
        <f t="shared" si="13"/>
        <v>-469353000</v>
      </c>
      <c r="J191" s="99">
        <f t="shared" si="16"/>
        <v>0</v>
      </c>
      <c r="K191" s="99">
        <f t="shared" si="17"/>
        <v>-469353000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165</v>
      </c>
      <c r="H192" s="99">
        <f t="shared" si="15"/>
        <v>1</v>
      </c>
      <c r="I192" s="99">
        <f t="shared" si="13"/>
        <v>164000000</v>
      </c>
      <c r="J192" s="99">
        <f t="shared" si="16"/>
        <v>0</v>
      </c>
      <c r="K192" s="99">
        <f t="shared" si="17"/>
        <v>164000000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164</v>
      </c>
      <c r="H193" s="99">
        <f t="shared" si="15"/>
        <v>0</v>
      </c>
      <c r="I193" s="99">
        <f t="shared" si="13"/>
        <v>-2460000</v>
      </c>
      <c r="J193" s="99">
        <f t="shared" si="16"/>
        <v>0</v>
      </c>
      <c r="K193" s="99">
        <f t="shared" si="17"/>
        <v>-2460000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162</v>
      </c>
      <c r="H194" s="99">
        <f t="shared" si="15"/>
        <v>0</v>
      </c>
      <c r="I194" s="99">
        <f t="shared" si="13"/>
        <v>-160380000</v>
      </c>
      <c r="J194" s="99">
        <f t="shared" si="16"/>
        <v>0</v>
      </c>
      <c r="K194" s="99">
        <f t="shared" si="17"/>
        <v>-160380000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162</v>
      </c>
      <c r="H195" s="99">
        <f t="shared" si="15"/>
        <v>1</v>
      </c>
      <c r="I195" s="99">
        <f t="shared" si="13"/>
        <v>126063000</v>
      </c>
      <c r="J195" s="99">
        <f t="shared" si="16"/>
        <v>0</v>
      </c>
      <c r="K195" s="99">
        <f t="shared" si="17"/>
        <v>126063000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160</v>
      </c>
      <c r="H196" s="99">
        <f t="shared" si="15"/>
        <v>0</v>
      </c>
      <c r="I196" s="99">
        <f t="shared" si="13"/>
        <v>-120080000</v>
      </c>
      <c r="J196" s="99">
        <f t="shared" si="16"/>
        <v>0</v>
      </c>
      <c r="K196" s="99">
        <f t="shared" si="17"/>
        <v>-120080000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158</v>
      </c>
      <c r="H197" s="99">
        <f t="shared" si="15"/>
        <v>1</v>
      </c>
      <c r="I197" s="99">
        <f t="shared" si="13"/>
        <v>109900000</v>
      </c>
      <c r="J197" s="99">
        <f t="shared" si="16"/>
        <v>0</v>
      </c>
      <c r="K197" s="99">
        <f t="shared" si="17"/>
        <v>109900000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158</v>
      </c>
      <c r="H198" s="99">
        <f t="shared" si="15"/>
        <v>0</v>
      </c>
      <c r="I198" s="99">
        <f t="shared" si="13"/>
        <v>-15642000</v>
      </c>
      <c r="J198" s="99">
        <f t="shared" si="16"/>
        <v>0</v>
      </c>
      <c r="K198" s="99">
        <f t="shared" si="17"/>
        <v>-15642000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157</v>
      </c>
      <c r="H199" s="99">
        <f t="shared" si="15"/>
        <v>0</v>
      </c>
      <c r="I199" s="99">
        <f t="shared" si="13"/>
        <v>-32302750</v>
      </c>
      <c r="J199" s="99">
        <f t="shared" si="16"/>
        <v>0</v>
      </c>
      <c r="K199" s="99">
        <f t="shared" si="17"/>
        <v>-32302750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157</v>
      </c>
      <c r="H200" s="99">
        <f t="shared" si="15"/>
        <v>0</v>
      </c>
      <c r="I200" s="99">
        <f t="shared" si="13"/>
        <v>-14915000</v>
      </c>
      <c r="J200" s="99">
        <f t="shared" si="16"/>
        <v>0</v>
      </c>
      <c r="K200" s="99">
        <f t="shared" si="17"/>
        <v>-14915000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154</v>
      </c>
      <c r="H201" s="99">
        <f t="shared" si="15"/>
        <v>1</v>
      </c>
      <c r="I201" s="99">
        <f t="shared" si="13"/>
        <v>7443450000</v>
      </c>
      <c r="J201" s="99">
        <f t="shared" si="16"/>
        <v>0</v>
      </c>
      <c r="K201" s="99">
        <f t="shared" si="17"/>
        <v>7443450000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154</v>
      </c>
      <c r="H202" s="99">
        <f t="shared" si="15"/>
        <v>0</v>
      </c>
      <c r="I202" s="99">
        <f t="shared" si="13"/>
        <v>-462138600</v>
      </c>
      <c r="J202" s="99">
        <f t="shared" si="16"/>
        <v>0</v>
      </c>
      <c r="K202" s="99">
        <f t="shared" si="17"/>
        <v>-462138600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154</v>
      </c>
      <c r="H203" s="99">
        <f t="shared" si="15"/>
        <v>0</v>
      </c>
      <c r="I203" s="99">
        <f t="shared" si="13"/>
        <v>-770000</v>
      </c>
      <c r="J203" s="99">
        <f t="shared" si="16"/>
        <v>0</v>
      </c>
      <c r="K203" s="99">
        <f t="shared" si="17"/>
        <v>-770000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154</v>
      </c>
      <c r="H204" s="99">
        <f t="shared" si="15"/>
        <v>0</v>
      </c>
      <c r="I204" s="99">
        <f t="shared" si="13"/>
        <v>-5159000000</v>
      </c>
      <c r="J204" s="99">
        <f t="shared" si="16"/>
        <v>0</v>
      </c>
      <c r="K204" s="99">
        <f t="shared" si="17"/>
        <v>-5159000000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153</v>
      </c>
      <c r="H205" s="99">
        <f t="shared" si="15"/>
        <v>0</v>
      </c>
      <c r="I205" s="99">
        <f t="shared" si="13"/>
        <v>-1902555000</v>
      </c>
      <c r="J205" s="99">
        <f t="shared" si="16"/>
        <v>0</v>
      </c>
      <c r="K205" s="99">
        <f t="shared" si="17"/>
        <v>-1902555000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150</v>
      </c>
      <c r="H206" s="99">
        <f t="shared" si="15"/>
        <v>0</v>
      </c>
      <c r="I206" s="99">
        <f t="shared" si="13"/>
        <v>-2775000</v>
      </c>
      <c r="J206" s="99">
        <f t="shared" si="16"/>
        <v>0</v>
      </c>
      <c r="K206" s="99">
        <f t="shared" si="17"/>
        <v>-2775000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148</v>
      </c>
      <c r="H207" s="99">
        <f t="shared" si="15"/>
        <v>1</v>
      </c>
      <c r="I207" s="99">
        <f t="shared" si="13"/>
        <v>2128560</v>
      </c>
      <c r="J207" s="99">
        <f t="shared" ref="J207:J281" si="20">C207*(G207-H207)</f>
        <v>10418478</v>
      </c>
      <c r="K207" s="99">
        <f t="shared" si="17"/>
        <v>-8289918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147</v>
      </c>
      <c r="H208" s="99">
        <f t="shared" si="15"/>
        <v>1</v>
      </c>
      <c r="I208" s="99">
        <f t="shared" si="13"/>
        <v>121180000</v>
      </c>
      <c r="J208" s="99">
        <f t="shared" si="20"/>
        <v>0</v>
      </c>
      <c r="K208" s="99">
        <f t="shared" si="17"/>
        <v>121180000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145</v>
      </c>
      <c r="H209" s="99">
        <f t="shared" si="15"/>
        <v>0</v>
      </c>
      <c r="I209" s="99">
        <f t="shared" si="13"/>
        <v>-7603800</v>
      </c>
      <c r="J209" s="99">
        <f t="shared" si="20"/>
        <v>0</v>
      </c>
      <c r="K209" s="99">
        <f t="shared" si="17"/>
        <v>-7603800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144</v>
      </c>
      <c r="H210" s="99">
        <f t="shared" si="15"/>
        <v>0</v>
      </c>
      <c r="I210" s="99">
        <f t="shared" si="13"/>
        <v>-7358400</v>
      </c>
      <c r="J210" s="99">
        <f t="shared" si="20"/>
        <v>0</v>
      </c>
      <c r="K210" s="99">
        <f t="shared" si="17"/>
        <v>-7358400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143</v>
      </c>
      <c r="H211" s="99">
        <f t="shared" si="15"/>
        <v>0</v>
      </c>
      <c r="I211" s="99">
        <f t="shared" si="13"/>
        <v>-28600000</v>
      </c>
      <c r="J211" s="99">
        <f t="shared" si="20"/>
        <v>0</v>
      </c>
      <c r="K211" s="99">
        <f t="shared" si="17"/>
        <v>-28600000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142</v>
      </c>
      <c r="H212" s="99">
        <f t="shared" si="15"/>
        <v>0</v>
      </c>
      <c r="I212" s="99">
        <f t="shared" si="13"/>
        <v>-3976000</v>
      </c>
      <c r="J212" s="99">
        <f t="shared" si="20"/>
        <v>0</v>
      </c>
      <c r="K212" s="99">
        <f t="shared" si="17"/>
        <v>-3976000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141</v>
      </c>
      <c r="H213" s="99">
        <f t="shared" si="15"/>
        <v>0</v>
      </c>
      <c r="I213" s="99">
        <f t="shared" si="13"/>
        <v>-8333100</v>
      </c>
      <c r="J213" s="99">
        <f t="shared" si="20"/>
        <v>0</v>
      </c>
      <c r="K213" s="99">
        <f t="shared" si="17"/>
        <v>-8333100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140</v>
      </c>
      <c r="H214" s="99">
        <f t="shared" si="15"/>
        <v>0</v>
      </c>
      <c r="I214" s="99">
        <f t="shared" si="13"/>
        <v>-4200000</v>
      </c>
      <c r="J214" s="99">
        <f t="shared" si="20"/>
        <v>0</v>
      </c>
      <c r="K214" s="99">
        <f t="shared" si="17"/>
        <v>-4200000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140</v>
      </c>
      <c r="H215" s="99">
        <f t="shared" si="15"/>
        <v>0</v>
      </c>
      <c r="I215" s="99">
        <f t="shared" si="13"/>
        <v>-24920000</v>
      </c>
      <c r="J215" s="99">
        <f t="shared" si="20"/>
        <v>0</v>
      </c>
      <c r="K215" s="99">
        <f t="shared" si="17"/>
        <v>-24920000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139</v>
      </c>
      <c r="H216" s="99">
        <f t="shared" si="15"/>
        <v>0</v>
      </c>
      <c r="I216" s="99">
        <f t="shared" si="13"/>
        <v>-13289790</v>
      </c>
      <c r="J216" s="99">
        <f t="shared" si="20"/>
        <v>0</v>
      </c>
      <c r="K216" s="99">
        <f t="shared" si="17"/>
        <v>-13289790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136</v>
      </c>
      <c r="H217" s="99">
        <f t="shared" si="15"/>
        <v>0</v>
      </c>
      <c r="I217" s="99">
        <f t="shared" si="13"/>
        <v>-11424000</v>
      </c>
      <c r="J217" s="99">
        <f t="shared" si="20"/>
        <v>0</v>
      </c>
      <c r="K217" s="99">
        <f t="shared" si="17"/>
        <v>-11424000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134</v>
      </c>
      <c r="H218" s="99">
        <f t="shared" si="15"/>
        <v>0</v>
      </c>
      <c r="I218" s="99">
        <f t="shared" si="13"/>
        <v>-4422000</v>
      </c>
      <c r="J218" s="99">
        <f t="shared" si="20"/>
        <v>0</v>
      </c>
      <c r="K218" s="99">
        <f t="shared" si="17"/>
        <v>-4422000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131</v>
      </c>
      <c r="H219" s="99">
        <f t="shared" si="15"/>
        <v>1</v>
      </c>
      <c r="I219" s="99">
        <f t="shared" si="13"/>
        <v>201240000</v>
      </c>
      <c r="J219" s="99">
        <f t="shared" si="20"/>
        <v>0</v>
      </c>
      <c r="K219" s="99">
        <f t="shared" si="17"/>
        <v>201240000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130</v>
      </c>
      <c r="H220" s="99">
        <f t="shared" si="15"/>
        <v>0</v>
      </c>
      <c r="I220" s="99">
        <f t="shared" si="13"/>
        <v>-182091000</v>
      </c>
      <c r="J220" s="99">
        <f t="shared" si="20"/>
        <v>0</v>
      </c>
      <c r="K220" s="99">
        <f t="shared" si="17"/>
        <v>-182091000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130</v>
      </c>
      <c r="H221" s="99">
        <f t="shared" si="15"/>
        <v>0</v>
      </c>
      <c r="I221" s="99">
        <f t="shared" si="13"/>
        <v>-1300000</v>
      </c>
      <c r="J221" s="99">
        <f t="shared" si="20"/>
        <v>0</v>
      </c>
      <c r="K221" s="99">
        <f t="shared" si="17"/>
        <v>-1300000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130</v>
      </c>
      <c r="H222" s="99">
        <f t="shared" si="15"/>
        <v>0</v>
      </c>
      <c r="I222" s="99">
        <f t="shared" si="13"/>
        <v>-650000</v>
      </c>
      <c r="J222" s="99">
        <f t="shared" si="20"/>
        <v>-325000</v>
      </c>
      <c r="K222" s="99">
        <f t="shared" si="17"/>
        <v>-325000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124</v>
      </c>
      <c r="H223" s="99">
        <f t="shared" si="15"/>
        <v>0</v>
      </c>
      <c r="I223" s="99">
        <f t="shared" si="13"/>
        <v>-23560000</v>
      </c>
      <c r="J223" s="99">
        <f t="shared" si="20"/>
        <v>0</v>
      </c>
      <c r="K223" s="99">
        <f t="shared" si="17"/>
        <v>-23560000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117</v>
      </c>
      <c r="H224" s="99">
        <f t="shared" si="15"/>
        <v>1</v>
      </c>
      <c r="I224" s="99">
        <f t="shared" si="13"/>
        <v>221676</v>
      </c>
      <c r="J224" s="99">
        <f t="shared" si="20"/>
        <v>7536752</v>
      </c>
      <c r="K224" s="99">
        <f t="shared" si="17"/>
        <v>-7315076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111</v>
      </c>
      <c r="H225" s="99">
        <f t="shared" si="15"/>
        <v>1</v>
      </c>
      <c r="I225" s="99">
        <f t="shared" si="13"/>
        <v>550000000</v>
      </c>
      <c r="J225" s="99">
        <f t="shared" si="20"/>
        <v>0</v>
      </c>
      <c r="K225" s="99">
        <f t="shared" si="17"/>
        <v>550000000</v>
      </c>
    </row>
    <row r="226" spans="1:13">
      <c r="A226" s="99" t="s">
        <v>4311</v>
      </c>
      <c r="B226" s="18">
        <v>-3200000</v>
      </c>
      <c r="C226" s="18">
        <v>0</v>
      </c>
      <c r="D226" s="18">
        <f t="shared" si="18"/>
        <v>-3200000</v>
      </c>
      <c r="E226" s="99" t="s">
        <v>4323</v>
      </c>
      <c r="F226" s="99">
        <v>0</v>
      </c>
      <c r="G226" s="36">
        <f t="shared" si="21"/>
        <v>110</v>
      </c>
      <c r="H226" s="99">
        <f t="shared" si="15"/>
        <v>0</v>
      </c>
      <c r="I226" s="99">
        <f t="shared" si="13"/>
        <v>-352000000</v>
      </c>
      <c r="J226" s="99">
        <f t="shared" si="20"/>
        <v>0</v>
      </c>
      <c r="K226" s="99">
        <f t="shared" si="17"/>
        <v>-352000000</v>
      </c>
    </row>
    <row r="227" spans="1:13">
      <c r="A227" s="99" t="s">
        <v>4311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110</v>
      </c>
      <c r="H227" s="99">
        <f t="shared" si="15"/>
        <v>1</v>
      </c>
      <c r="I227" s="99">
        <f t="shared" si="13"/>
        <v>261600000</v>
      </c>
      <c r="J227" s="99">
        <f t="shared" si="20"/>
        <v>0</v>
      </c>
      <c r="K227" s="99">
        <f t="shared" si="17"/>
        <v>261600000</v>
      </c>
    </row>
    <row r="228" spans="1:13">
      <c r="A228" s="99" t="s">
        <v>4339</v>
      </c>
      <c r="B228" s="18">
        <v>-50000</v>
      </c>
      <c r="C228" s="18">
        <v>0</v>
      </c>
      <c r="D228" s="18">
        <f t="shared" si="18"/>
        <v>-50000</v>
      </c>
      <c r="E228" s="99" t="s">
        <v>4343</v>
      </c>
      <c r="F228" s="99">
        <v>1</v>
      </c>
      <c r="G228" s="36">
        <f t="shared" si="21"/>
        <v>108</v>
      </c>
      <c r="H228" s="99">
        <f t="shared" si="15"/>
        <v>0</v>
      </c>
      <c r="I228" s="99">
        <f t="shared" si="13"/>
        <v>-5400000</v>
      </c>
      <c r="J228" s="99">
        <f t="shared" si="20"/>
        <v>0</v>
      </c>
      <c r="K228" s="99">
        <f t="shared" si="17"/>
        <v>-5400000</v>
      </c>
    </row>
    <row r="229" spans="1:13">
      <c r="A229" s="99" t="s">
        <v>4333</v>
      </c>
      <c r="B229" s="18">
        <v>-4100700</v>
      </c>
      <c r="C229" s="18">
        <v>0</v>
      </c>
      <c r="D229" s="18">
        <f t="shared" si="18"/>
        <v>-4100700</v>
      </c>
      <c r="E229" s="99" t="s">
        <v>4344</v>
      </c>
      <c r="F229" s="99">
        <v>4</v>
      </c>
      <c r="G229" s="36">
        <f t="shared" si="21"/>
        <v>107</v>
      </c>
      <c r="H229" s="99">
        <f t="shared" si="15"/>
        <v>0</v>
      </c>
      <c r="I229" s="99">
        <f t="shared" si="13"/>
        <v>-438774900</v>
      </c>
      <c r="J229" s="99">
        <f t="shared" si="20"/>
        <v>0</v>
      </c>
      <c r="K229" s="99">
        <f t="shared" si="17"/>
        <v>-438774900</v>
      </c>
    </row>
    <row r="230" spans="1:13">
      <c r="A230" s="99" t="s">
        <v>4352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103</v>
      </c>
      <c r="H230" s="99">
        <f t="shared" si="15"/>
        <v>1</v>
      </c>
      <c r="I230" s="99">
        <f t="shared" si="13"/>
        <v>989400000</v>
      </c>
      <c r="J230" s="99">
        <f t="shared" si="20"/>
        <v>0</v>
      </c>
      <c r="K230" s="99">
        <f t="shared" si="17"/>
        <v>989400000</v>
      </c>
    </row>
    <row r="231" spans="1:13">
      <c r="A231" s="99" t="s">
        <v>4352</v>
      </c>
      <c r="B231" s="18">
        <v>-3000900</v>
      </c>
      <c r="C231" s="18">
        <v>0</v>
      </c>
      <c r="D231" s="18">
        <f t="shared" si="18"/>
        <v>-3000900</v>
      </c>
      <c r="E231" s="99" t="s">
        <v>4360</v>
      </c>
      <c r="F231" s="99">
        <v>1</v>
      </c>
      <c r="G231" s="36">
        <f t="shared" si="21"/>
        <v>103</v>
      </c>
      <c r="H231" s="99">
        <f t="shared" si="15"/>
        <v>0</v>
      </c>
      <c r="I231" s="99">
        <f t="shared" si="13"/>
        <v>-309092700</v>
      </c>
      <c r="J231" s="99">
        <f t="shared" si="20"/>
        <v>0</v>
      </c>
      <c r="K231" s="99">
        <f t="shared" si="17"/>
        <v>-309092700</v>
      </c>
    </row>
    <row r="232" spans="1:13">
      <c r="A232" s="99" t="s">
        <v>4353</v>
      </c>
      <c r="B232" s="18">
        <v>-3000900</v>
      </c>
      <c r="C232" s="18">
        <v>0</v>
      </c>
      <c r="D232" s="18">
        <f t="shared" si="18"/>
        <v>-3000900</v>
      </c>
      <c r="E232" s="99" t="s">
        <v>4360</v>
      </c>
      <c r="F232" s="99">
        <v>0</v>
      </c>
      <c r="G232" s="36">
        <f t="shared" si="21"/>
        <v>102</v>
      </c>
      <c r="H232" s="99">
        <f t="shared" si="15"/>
        <v>0</v>
      </c>
      <c r="I232" s="99">
        <f t="shared" si="13"/>
        <v>-306091800</v>
      </c>
      <c r="J232" s="99">
        <f t="shared" si="20"/>
        <v>0</v>
      </c>
      <c r="K232" s="99">
        <f t="shared" si="17"/>
        <v>-306091800</v>
      </c>
    </row>
    <row r="233" spans="1:13">
      <c r="A233" s="99" t="s">
        <v>4353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102</v>
      </c>
      <c r="H233" s="99">
        <f t="shared" si="15"/>
        <v>0</v>
      </c>
      <c r="I233" s="99">
        <f t="shared" si="13"/>
        <v>-56610000</v>
      </c>
      <c r="J233" s="99">
        <f t="shared" si="20"/>
        <v>0</v>
      </c>
      <c r="K233" s="99">
        <f t="shared" si="17"/>
        <v>-56610000</v>
      </c>
    </row>
    <row r="234" spans="1:13">
      <c r="A234" s="99" t="s">
        <v>4372</v>
      </c>
      <c r="B234" s="18">
        <v>-138360</v>
      </c>
      <c r="C234" s="18">
        <v>0</v>
      </c>
      <c r="D234" s="18">
        <f t="shared" si="18"/>
        <v>-138360</v>
      </c>
      <c r="E234" s="99" t="s">
        <v>4374</v>
      </c>
      <c r="F234" s="99">
        <v>1</v>
      </c>
      <c r="G234" s="36">
        <f t="shared" si="21"/>
        <v>101</v>
      </c>
      <c r="H234" s="99">
        <f t="shared" si="15"/>
        <v>0</v>
      </c>
      <c r="I234" s="99">
        <f t="shared" si="13"/>
        <v>-13974360</v>
      </c>
      <c r="J234" s="99">
        <f t="shared" si="20"/>
        <v>0</v>
      </c>
      <c r="K234" s="99">
        <f t="shared" si="17"/>
        <v>-13974360</v>
      </c>
    </row>
    <row r="235" spans="1:13">
      <c r="A235" s="99" t="s">
        <v>4375</v>
      </c>
      <c r="B235" s="18">
        <v>-3000900</v>
      </c>
      <c r="C235" s="18">
        <v>0</v>
      </c>
      <c r="D235" s="18">
        <f t="shared" si="18"/>
        <v>-3000900</v>
      </c>
      <c r="E235" s="99" t="s">
        <v>4360</v>
      </c>
      <c r="F235" s="99">
        <v>2</v>
      </c>
      <c r="G235" s="36">
        <f t="shared" si="21"/>
        <v>100</v>
      </c>
      <c r="H235" s="99">
        <f t="shared" si="15"/>
        <v>0</v>
      </c>
      <c r="I235" s="99">
        <f t="shared" si="13"/>
        <v>-300090000</v>
      </c>
      <c r="J235" s="99">
        <f t="shared" si="20"/>
        <v>0</v>
      </c>
      <c r="K235" s="99">
        <f t="shared" si="17"/>
        <v>-300090000</v>
      </c>
      <c r="M235" t="s">
        <v>25</v>
      </c>
    </row>
    <row r="236" spans="1:13">
      <c r="A236" s="99" t="s">
        <v>4381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98</v>
      </c>
      <c r="H236" s="99">
        <f t="shared" si="15"/>
        <v>0</v>
      </c>
      <c r="I236" s="99">
        <f t="shared" si="13"/>
        <v>-5390000</v>
      </c>
      <c r="J236" s="99">
        <f t="shared" si="20"/>
        <v>0</v>
      </c>
      <c r="K236" s="99">
        <f t="shared" si="17"/>
        <v>-5390000</v>
      </c>
    </row>
    <row r="237" spans="1:13">
      <c r="A237" s="99" t="s">
        <v>4398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94</v>
      </c>
      <c r="H237" s="99">
        <f t="shared" si="15"/>
        <v>1</v>
      </c>
      <c r="I237" s="99">
        <f t="shared" si="13"/>
        <v>561255000</v>
      </c>
      <c r="J237" s="99">
        <f t="shared" si="20"/>
        <v>0</v>
      </c>
      <c r="K237" s="99">
        <f t="shared" si="17"/>
        <v>561255000</v>
      </c>
    </row>
    <row r="238" spans="1:13">
      <c r="A238" s="99" t="s">
        <v>4405</v>
      </c>
      <c r="B238" s="18">
        <v>-7500</v>
      </c>
      <c r="C238" s="18">
        <v>0</v>
      </c>
      <c r="D238" s="18">
        <f t="shared" si="18"/>
        <v>-7500</v>
      </c>
      <c r="E238" s="99" t="s">
        <v>4406</v>
      </c>
      <c r="F238" s="99">
        <v>1</v>
      </c>
      <c r="G238" s="36">
        <f t="shared" si="21"/>
        <v>92</v>
      </c>
      <c r="H238" s="99">
        <f t="shared" si="15"/>
        <v>0</v>
      </c>
      <c r="I238" s="99">
        <f t="shared" si="13"/>
        <v>-690000</v>
      </c>
      <c r="J238" s="99">
        <f t="shared" si="20"/>
        <v>0</v>
      </c>
      <c r="K238" s="99">
        <f t="shared" si="17"/>
        <v>-690000</v>
      </c>
    </row>
    <row r="239" spans="1:13">
      <c r="A239" s="99" t="s">
        <v>4407</v>
      </c>
      <c r="B239" s="18">
        <v>-4098523</v>
      </c>
      <c r="C239" s="18">
        <v>0</v>
      </c>
      <c r="D239" s="18">
        <f t="shared" si="18"/>
        <v>-4098523</v>
      </c>
      <c r="E239" s="99" t="s">
        <v>4408</v>
      </c>
      <c r="F239" s="99">
        <v>0</v>
      </c>
      <c r="G239" s="36">
        <f t="shared" si="21"/>
        <v>91</v>
      </c>
      <c r="H239" s="99">
        <f t="shared" si="15"/>
        <v>0</v>
      </c>
      <c r="I239" s="99">
        <f t="shared" si="13"/>
        <v>-372965593</v>
      </c>
      <c r="J239" s="99">
        <f t="shared" si="20"/>
        <v>0</v>
      </c>
      <c r="K239" s="99">
        <f t="shared" si="17"/>
        <v>-372965593</v>
      </c>
    </row>
    <row r="240" spans="1:13">
      <c r="A240" s="99" t="s">
        <v>4409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91</v>
      </c>
      <c r="H240" s="99">
        <f t="shared" si="15"/>
        <v>0</v>
      </c>
      <c r="I240" s="99">
        <f t="shared" si="13"/>
        <v>-3023475</v>
      </c>
      <c r="J240" s="99">
        <f t="shared" si="20"/>
        <v>0</v>
      </c>
      <c r="K240" s="99">
        <f t="shared" si="17"/>
        <v>-3023475</v>
      </c>
    </row>
    <row r="241" spans="1:13">
      <c r="A241" s="99" t="s">
        <v>4409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91</v>
      </c>
      <c r="H241" s="99">
        <f t="shared" si="15"/>
        <v>0</v>
      </c>
      <c r="I241" s="99">
        <f t="shared" si="13"/>
        <v>-172445000</v>
      </c>
      <c r="J241" s="99">
        <f t="shared" si="20"/>
        <v>0</v>
      </c>
      <c r="K241" s="99">
        <f t="shared" si="17"/>
        <v>-172445000</v>
      </c>
    </row>
    <row r="242" spans="1:13">
      <c r="A242" s="99" t="s">
        <v>4444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84</v>
      </c>
      <c r="H242" s="99">
        <f t="shared" si="15"/>
        <v>1</v>
      </c>
      <c r="I242" s="99">
        <f t="shared" si="13"/>
        <v>207500000</v>
      </c>
      <c r="J242" s="99">
        <f t="shared" si="20"/>
        <v>0</v>
      </c>
      <c r="K242" s="99">
        <f t="shared" si="17"/>
        <v>207500000</v>
      </c>
    </row>
    <row r="243" spans="1:13">
      <c r="A243" s="99" t="s">
        <v>4446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82</v>
      </c>
      <c r="H243" s="99">
        <f t="shared" si="15"/>
        <v>0</v>
      </c>
      <c r="I243" s="99">
        <f t="shared" si="13"/>
        <v>-205000000</v>
      </c>
      <c r="J243" s="99">
        <f t="shared" si="20"/>
        <v>0</v>
      </c>
      <c r="K243" s="99">
        <f t="shared" si="17"/>
        <v>-205000000</v>
      </c>
    </row>
    <row r="244" spans="1:13">
      <c r="A244" s="99" t="s">
        <v>4451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80</v>
      </c>
      <c r="H244" s="99">
        <f t="shared" si="15"/>
        <v>1</v>
      </c>
      <c r="I244" s="99">
        <f t="shared" si="13"/>
        <v>86900000</v>
      </c>
      <c r="J244" s="99">
        <f t="shared" si="20"/>
        <v>0</v>
      </c>
      <c r="K244" s="99">
        <f t="shared" si="17"/>
        <v>86900000</v>
      </c>
    </row>
    <row r="245" spans="1:13">
      <c r="A245" s="99" t="s">
        <v>4453</v>
      </c>
      <c r="B245" s="18">
        <v>3000000</v>
      </c>
      <c r="C245" s="18">
        <v>0</v>
      </c>
      <c r="D245" s="18">
        <f t="shared" si="18"/>
        <v>3000000</v>
      </c>
      <c r="E245" s="99" t="s">
        <v>4455</v>
      </c>
      <c r="F245" s="99">
        <v>2</v>
      </c>
      <c r="G245" s="36">
        <f t="shared" si="21"/>
        <v>78</v>
      </c>
      <c r="H245" s="99">
        <f t="shared" si="15"/>
        <v>1</v>
      </c>
      <c r="I245" s="99">
        <f t="shared" si="13"/>
        <v>231000000</v>
      </c>
      <c r="J245" s="99">
        <f t="shared" si="20"/>
        <v>0</v>
      </c>
      <c r="K245" s="99">
        <f t="shared" si="17"/>
        <v>231000000</v>
      </c>
    </row>
    <row r="246" spans="1:13">
      <c r="A246" s="99" t="s">
        <v>4450</v>
      </c>
      <c r="B246" s="18">
        <v>-4040700</v>
      </c>
      <c r="C246" s="18">
        <v>0</v>
      </c>
      <c r="D246" s="18">
        <f t="shared" si="18"/>
        <v>-4040700</v>
      </c>
      <c r="E246" s="99" t="s">
        <v>4488</v>
      </c>
      <c r="F246" s="99">
        <v>0</v>
      </c>
      <c r="G246" s="36">
        <f t="shared" si="21"/>
        <v>76</v>
      </c>
      <c r="H246" s="99">
        <f t="shared" si="15"/>
        <v>0</v>
      </c>
      <c r="I246" s="99">
        <f t="shared" si="13"/>
        <v>-307093200</v>
      </c>
      <c r="J246" s="99">
        <f t="shared" si="20"/>
        <v>0</v>
      </c>
      <c r="K246" s="99">
        <f t="shared" si="17"/>
        <v>-307093200</v>
      </c>
    </row>
    <row r="247" spans="1:13">
      <c r="A247" s="99" t="s">
        <v>4450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76</v>
      </c>
      <c r="H247" s="99">
        <f t="shared" si="15"/>
        <v>1</v>
      </c>
      <c r="I247" s="99">
        <f t="shared" si="13"/>
        <v>36750000</v>
      </c>
      <c r="J247" s="99">
        <f t="shared" si="20"/>
        <v>0</v>
      </c>
      <c r="K247" s="99">
        <f t="shared" si="17"/>
        <v>36750000</v>
      </c>
    </row>
    <row r="248" spans="1:13">
      <c r="A248" s="99" t="s">
        <v>4491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75</v>
      </c>
      <c r="H248" s="99">
        <f t="shared" si="15"/>
        <v>1</v>
      </c>
      <c r="I248" s="99">
        <f t="shared" si="13"/>
        <v>103600000</v>
      </c>
      <c r="J248" s="99">
        <f t="shared" si="20"/>
        <v>0</v>
      </c>
      <c r="K248" s="99">
        <f t="shared" si="17"/>
        <v>103600000</v>
      </c>
      <c r="M248" t="s">
        <v>25</v>
      </c>
    </row>
    <row r="249" spans="1:13">
      <c r="A249" s="99" t="s">
        <v>4491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75</v>
      </c>
      <c r="H249" s="99">
        <f t="shared" si="15"/>
        <v>0</v>
      </c>
      <c r="I249" s="99">
        <f t="shared" si="13"/>
        <v>-112500000</v>
      </c>
      <c r="J249" s="99">
        <f t="shared" si="20"/>
        <v>0</v>
      </c>
      <c r="K249" s="99">
        <f t="shared" si="17"/>
        <v>-112500000</v>
      </c>
    </row>
    <row r="250" spans="1:13">
      <c r="A250" s="99" t="s">
        <v>4497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74</v>
      </c>
      <c r="H250" s="99">
        <f t="shared" si="15"/>
        <v>0</v>
      </c>
      <c r="I250" s="99">
        <f t="shared" si="13"/>
        <v>-7400000</v>
      </c>
      <c r="J250" s="99">
        <f t="shared" si="20"/>
        <v>0</v>
      </c>
      <c r="K250" s="99">
        <f t="shared" si="17"/>
        <v>-7400000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73</v>
      </c>
      <c r="H251" s="99">
        <f t="shared" si="15"/>
        <v>0</v>
      </c>
      <c r="I251" s="99">
        <f t="shared" si="13"/>
        <v>-1014700</v>
      </c>
      <c r="J251" s="99">
        <f t="shared" si="20"/>
        <v>0</v>
      </c>
      <c r="K251" s="99">
        <f t="shared" si="17"/>
        <v>-1014700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73</v>
      </c>
      <c r="H252" s="99">
        <f t="shared" si="15"/>
        <v>1</v>
      </c>
      <c r="I252" s="99">
        <f t="shared" si="13"/>
        <v>21600000</v>
      </c>
      <c r="J252" s="99">
        <f t="shared" si="20"/>
        <v>0</v>
      </c>
      <c r="K252" s="99">
        <f t="shared" si="17"/>
        <v>21600000</v>
      </c>
    </row>
    <row r="253" spans="1:13">
      <c r="A253" s="99" t="s">
        <v>4505</v>
      </c>
      <c r="B253" s="18">
        <v>12000000</v>
      </c>
      <c r="C253" s="18">
        <v>0</v>
      </c>
      <c r="D253" s="18">
        <f t="shared" si="18"/>
        <v>12000000</v>
      </c>
      <c r="E253" s="99" t="s">
        <v>4506</v>
      </c>
      <c r="F253" s="99">
        <v>1</v>
      </c>
      <c r="G253" s="36">
        <f t="shared" si="21"/>
        <v>71</v>
      </c>
      <c r="H253" s="99">
        <f t="shared" si="15"/>
        <v>1</v>
      </c>
      <c r="I253" s="99">
        <f t="shared" si="13"/>
        <v>840000000</v>
      </c>
      <c r="J253" s="99">
        <f t="shared" si="20"/>
        <v>0</v>
      </c>
      <c r="K253" s="99">
        <f t="shared" si="17"/>
        <v>840000000</v>
      </c>
    </row>
    <row r="254" spans="1:13">
      <c r="A254" s="99" t="s">
        <v>4507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70</v>
      </c>
      <c r="H254" s="99">
        <f t="shared" si="15"/>
        <v>1</v>
      </c>
      <c r="I254" s="99">
        <f t="shared" si="13"/>
        <v>207000000</v>
      </c>
      <c r="J254" s="99">
        <f t="shared" si="20"/>
        <v>0</v>
      </c>
      <c r="K254" s="99">
        <f t="shared" si="17"/>
        <v>207000000</v>
      </c>
    </row>
    <row r="255" spans="1:13">
      <c r="A255" s="99" t="s">
        <v>4509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69</v>
      </c>
      <c r="H255" s="99">
        <f t="shared" si="15"/>
        <v>0</v>
      </c>
      <c r="I255" s="99">
        <f t="shared" si="13"/>
        <v>-966000000</v>
      </c>
      <c r="J255" s="99">
        <f t="shared" si="20"/>
        <v>0</v>
      </c>
      <c r="K255" s="99">
        <f t="shared" si="17"/>
        <v>-966000000</v>
      </c>
    </row>
    <row r="256" spans="1:13">
      <c r="A256" s="99" t="s">
        <v>4511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68</v>
      </c>
      <c r="H256" s="99">
        <f t="shared" si="15"/>
        <v>0</v>
      </c>
      <c r="I256" s="99">
        <f t="shared" si="13"/>
        <v>-8497892</v>
      </c>
      <c r="J256" s="99">
        <f t="shared" si="20"/>
        <v>0</v>
      </c>
      <c r="K256" s="99">
        <f t="shared" si="17"/>
        <v>-8497892</v>
      </c>
    </row>
    <row r="257" spans="1:13">
      <c r="A257" s="99" t="s">
        <v>4511</v>
      </c>
      <c r="B257" s="18">
        <v>0</v>
      </c>
      <c r="C257" s="39">
        <v>-7968789</v>
      </c>
      <c r="D257" s="39">
        <f t="shared" si="18"/>
        <v>7968789</v>
      </c>
      <c r="E257" s="99" t="s">
        <v>4513</v>
      </c>
      <c r="F257" s="99">
        <v>1</v>
      </c>
      <c r="G257" s="36">
        <f t="shared" si="21"/>
        <v>68</v>
      </c>
      <c r="H257" s="99">
        <f t="shared" si="15"/>
        <v>0</v>
      </c>
      <c r="I257" s="99">
        <f t="shared" si="13"/>
        <v>0</v>
      </c>
      <c r="J257" s="99">
        <f t="shared" si="20"/>
        <v>-541877652</v>
      </c>
      <c r="K257" s="99">
        <f t="shared" si="17"/>
        <v>541877652</v>
      </c>
    </row>
    <row r="258" spans="1:13">
      <c r="A258" s="99" t="s">
        <v>4515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67</v>
      </c>
      <c r="H258" s="99">
        <f t="shared" si="15"/>
        <v>0</v>
      </c>
      <c r="I258" s="99">
        <f t="shared" si="13"/>
        <v>-87971000</v>
      </c>
      <c r="J258" s="99">
        <f t="shared" si="20"/>
        <v>0</v>
      </c>
      <c r="K258" s="99">
        <f t="shared" si="17"/>
        <v>-87971000</v>
      </c>
    </row>
    <row r="259" spans="1:13">
      <c r="A259" s="99" t="s">
        <v>4522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64</v>
      </c>
      <c r="H259" s="99">
        <f t="shared" si="15"/>
        <v>1</v>
      </c>
      <c r="I259" s="99">
        <f t="shared" si="13"/>
        <v>126000000</v>
      </c>
      <c r="J259" s="99">
        <f t="shared" si="20"/>
        <v>0</v>
      </c>
      <c r="K259" s="99">
        <f t="shared" si="17"/>
        <v>126000000</v>
      </c>
      <c r="M259" t="s">
        <v>25</v>
      </c>
    </row>
    <row r="260" spans="1:13">
      <c r="A260" s="99" t="s">
        <v>4523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63</v>
      </c>
      <c r="H260" s="99">
        <f t="shared" si="15"/>
        <v>0</v>
      </c>
      <c r="I260" s="99">
        <f t="shared" si="13"/>
        <v>-119700000</v>
      </c>
      <c r="J260" s="99">
        <f t="shared" si="20"/>
        <v>0</v>
      </c>
      <c r="K260" s="99">
        <f t="shared" si="17"/>
        <v>-119700000</v>
      </c>
    </row>
    <row r="261" spans="1:13">
      <c r="A261" s="99" t="s">
        <v>4523</v>
      </c>
      <c r="B261" s="18">
        <v>-100500</v>
      </c>
      <c r="C261" s="18">
        <v>0</v>
      </c>
      <c r="D261" s="18">
        <f t="shared" si="18"/>
        <v>-100500</v>
      </c>
      <c r="E261" s="99" t="s">
        <v>4525</v>
      </c>
      <c r="F261" s="99">
        <v>0</v>
      </c>
      <c r="G261" s="36">
        <f t="shared" si="21"/>
        <v>63</v>
      </c>
      <c r="H261" s="99">
        <f t="shared" si="15"/>
        <v>0</v>
      </c>
      <c r="I261" s="99">
        <f t="shared" si="13"/>
        <v>-6331500</v>
      </c>
      <c r="J261" s="99">
        <f t="shared" si="20"/>
        <v>0</v>
      </c>
      <c r="K261" s="99">
        <f t="shared" si="17"/>
        <v>-6331500</v>
      </c>
    </row>
    <row r="262" spans="1:13">
      <c r="A262" s="99" t="s">
        <v>4523</v>
      </c>
      <c r="B262" s="18">
        <v>-68670</v>
      </c>
      <c r="C262" s="18">
        <v>0</v>
      </c>
      <c r="D262" s="18">
        <f t="shared" si="18"/>
        <v>-68670</v>
      </c>
      <c r="E262" s="99" t="s">
        <v>4529</v>
      </c>
      <c r="F262" s="99">
        <v>1</v>
      </c>
      <c r="G262" s="36">
        <f t="shared" si="21"/>
        <v>63</v>
      </c>
      <c r="H262" s="99">
        <f t="shared" si="15"/>
        <v>0</v>
      </c>
      <c r="I262" s="99">
        <f t="shared" si="13"/>
        <v>-4326210</v>
      </c>
      <c r="J262" s="99">
        <f t="shared" si="20"/>
        <v>0</v>
      </c>
      <c r="K262" s="99">
        <f t="shared" si="17"/>
        <v>-4326210</v>
      </c>
    </row>
    <row r="263" spans="1:13">
      <c r="A263" s="99" t="s">
        <v>4526</v>
      </c>
      <c r="B263" s="18">
        <v>-118600</v>
      </c>
      <c r="C263" s="18">
        <v>0</v>
      </c>
      <c r="D263" s="18">
        <f t="shared" si="18"/>
        <v>-118600</v>
      </c>
      <c r="E263" s="99" t="s">
        <v>4408</v>
      </c>
      <c r="F263" s="99">
        <v>2</v>
      </c>
      <c r="G263" s="36">
        <f t="shared" si="21"/>
        <v>62</v>
      </c>
      <c r="H263" s="99">
        <f t="shared" si="15"/>
        <v>0</v>
      </c>
      <c r="I263" s="99">
        <f t="shared" si="13"/>
        <v>-7353200</v>
      </c>
      <c r="J263" s="99">
        <f t="shared" si="20"/>
        <v>0</v>
      </c>
      <c r="K263" s="99">
        <f t="shared" si="17"/>
        <v>-7353200</v>
      </c>
      <c r="L263" t="s">
        <v>25</v>
      </c>
    </row>
    <row r="264" spans="1:13">
      <c r="A264" s="99" t="s">
        <v>4536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60</v>
      </c>
      <c r="H264" s="99">
        <f t="shared" si="15"/>
        <v>1</v>
      </c>
      <c r="I264" s="99">
        <f t="shared" si="13"/>
        <v>399961000</v>
      </c>
      <c r="J264" s="99">
        <f t="shared" si="20"/>
        <v>0</v>
      </c>
      <c r="K264" s="99">
        <f t="shared" si="17"/>
        <v>399961000</v>
      </c>
    </row>
    <row r="265" spans="1:13">
      <c r="A265" s="99" t="s">
        <v>4536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60</v>
      </c>
      <c r="H265" s="99">
        <f t="shared" si="15"/>
        <v>0</v>
      </c>
      <c r="I265" s="99">
        <f t="shared" si="13"/>
        <v>-384000000</v>
      </c>
      <c r="J265" s="99">
        <f t="shared" si="20"/>
        <v>0</v>
      </c>
      <c r="K265" s="99">
        <f t="shared" si="17"/>
        <v>-384000000</v>
      </c>
    </row>
    <row r="266" spans="1:13">
      <c r="A266" s="99" t="s">
        <v>4536</v>
      </c>
      <c r="B266" s="18">
        <v>-389000</v>
      </c>
      <c r="C266" s="18">
        <v>0</v>
      </c>
      <c r="D266" s="18">
        <f t="shared" si="18"/>
        <v>-389000</v>
      </c>
      <c r="E266" s="99" t="s">
        <v>4539</v>
      </c>
      <c r="F266" s="99">
        <v>4</v>
      </c>
      <c r="G266" s="36">
        <f t="shared" si="21"/>
        <v>60</v>
      </c>
      <c r="H266" s="99">
        <f t="shared" si="15"/>
        <v>0</v>
      </c>
      <c r="I266" s="99">
        <f t="shared" si="13"/>
        <v>-23340000</v>
      </c>
      <c r="J266" s="99">
        <f t="shared" si="20"/>
        <v>0</v>
      </c>
      <c r="K266" s="99">
        <f t="shared" si="17"/>
        <v>-23340000</v>
      </c>
      <c r="M266" t="s">
        <v>25</v>
      </c>
    </row>
    <row r="267" spans="1:13">
      <c r="A267" s="99" t="s">
        <v>4564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56</v>
      </c>
      <c r="H267" s="99">
        <f t="shared" si="15"/>
        <v>1</v>
      </c>
      <c r="I267" s="99">
        <f t="shared" si="13"/>
        <v>12100000</v>
      </c>
      <c r="J267" s="99">
        <f t="shared" si="20"/>
        <v>0</v>
      </c>
      <c r="K267" s="99">
        <f t="shared" si="17"/>
        <v>12100000</v>
      </c>
    </row>
    <row r="268" spans="1:13">
      <c r="A268" s="99" t="s">
        <v>4565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56</v>
      </c>
      <c r="H268" s="99">
        <f t="shared" si="15"/>
        <v>0</v>
      </c>
      <c r="I268" s="99">
        <f t="shared" si="13"/>
        <v>-6125840</v>
      </c>
      <c r="J268" s="99">
        <f t="shared" si="20"/>
        <v>0</v>
      </c>
      <c r="K268" s="99">
        <f t="shared" si="17"/>
        <v>-6125840</v>
      </c>
    </row>
    <row r="269" spans="1:13">
      <c r="A269" s="99" t="s">
        <v>4568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54</v>
      </c>
      <c r="H269" s="99">
        <f t="shared" si="15"/>
        <v>1</v>
      </c>
      <c r="I269" s="99">
        <f t="shared" si="13"/>
        <v>5300000</v>
      </c>
      <c r="J269" s="99">
        <f t="shared" si="20"/>
        <v>0</v>
      </c>
      <c r="K269" s="99">
        <f t="shared" si="17"/>
        <v>5300000</v>
      </c>
    </row>
    <row r="270" spans="1:13">
      <c r="A270" s="99" t="s">
        <v>4568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54</v>
      </c>
      <c r="H270" s="99">
        <f t="shared" si="15"/>
        <v>1</v>
      </c>
      <c r="I270" s="99">
        <f t="shared" si="13"/>
        <v>137800000</v>
      </c>
      <c r="J270" s="99">
        <f t="shared" si="20"/>
        <v>0</v>
      </c>
      <c r="K270" s="99">
        <f t="shared" si="17"/>
        <v>137800000</v>
      </c>
      <c r="L270" t="s">
        <v>25</v>
      </c>
    </row>
    <row r="271" spans="1:13">
      <c r="A271" s="99" t="s">
        <v>4571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53</v>
      </c>
      <c r="H271" s="99">
        <f t="shared" si="15"/>
        <v>1</v>
      </c>
      <c r="I271" s="99">
        <f t="shared" si="13"/>
        <v>228800000</v>
      </c>
      <c r="J271" s="99">
        <f t="shared" si="20"/>
        <v>0</v>
      </c>
      <c r="K271" s="99">
        <f t="shared" si="17"/>
        <v>228800000</v>
      </c>
    </row>
    <row r="272" spans="1:13">
      <c r="A272" s="99" t="s">
        <v>4571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53</v>
      </c>
      <c r="H272" s="99">
        <f t="shared" si="15"/>
        <v>0</v>
      </c>
      <c r="I272" s="99">
        <f t="shared" si="13"/>
        <v>-5035000</v>
      </c>
      <c r="J272" s="99">
        <f t="shared" si="20"/>
        <v>0</v>
      </c>
      <c r="K272" s="99">
        <f t="shared" si="17"/>
        <v>-5035000</v>
      </c>
    </row>
    <row r="273" spans="1:12">
      <c r="A273" s="99" t="s">
        <v>4576</v>
      </c>
      <c r="B273" s="18">
        <v>-900000</v>
      </c>
      <c r="C273" s="18">
        <v>0</v>
      </c>
      <c r="D273" s="18">
        <f t="shared" si="18"/>
        <v>-900000</v>
      </c>
      <c r="E273" s="99" t="s">
        <v>4582</v>
      </c>
      <c r="F273" s="99">
        <v>1</v>
      </c>
      <c r="G273" s="36">
        <f t="shared" si="21"/>
        <v>52</v>
      </c>
      <c r="H273" s="99">
        <f t="shared" si="15"/>
        <v>0</v>
      </c>
      <c r="I273" s="99">
        <f t="shared" si="13"/>
        <v>-46800000</v>
      </c>
      <c r="J273" s="99">
        <f t="shared" si="20"/>
        <v>0</v>
      </c>
      <c r="K273" s="99">
        <f t="shared" si="17"/>
        <v>-46800000</v>
      </c>
    </row>
    <row r="274" spans="1:12">
      <c r="A274" s="99" t="s">
        <v>4579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51</v>
      </c>
      <c r="H274" s="99">
        <f t="shared" si="15"/>
        <v>1</v>
      </c>
      <c r="I274" s="99">
        <f t="shared" si="13"/>
        <v>125000000</v>
      </c>
      <c r="J274" s="99">
        <f t="shared" si="20"/>
        <v>0</v>
      </c>
      <c r="K274" s="99">
        <f t="shared" si="17"/>
        <v>125000000</v>
      </c>
    </row>
    <row r="275" spans="1:12">
      <c r="A275" s="99" t="s">
        <v>4579</v>
      </c>
      <c r="B275" s="18">
        <v>-1287000</v>
      </c>
      <c r="C275" s="18">
        <v>0</v>
      </c>
      <c r="D275" s="18">
        <f t="shared" si="18"/>
        <v>-1287000</v>
      </c>
      <c r="E275" s="99" t="s">
        <v>4580</v>
      </c>
      <c r="F275" s="99">
        <v>2</v>
      </c>
      <c r="G275" s="36">
        <f t="shared" si="21"/>
        <v>51</v>
      </c>
      <c r="H275" s="99">
        <f t="shared" si="15"/>
        <v>0</v>
      </c>
      <c r="I275" s="99">
        <f t="shared" si="13"/>
        <v>-65637000</v>
      </c>
      <c r="J275" s="99">
        <f t="shared" si="20"/>
        <v>0</v>
      </c>
      <c r="K275" s="99">
        <f t="shared" si="17"/>
        <v>-65637000</v>
      </c>
    </row>
    <row r="276" spans="1:12">
      <c r="A276" s="99" t="s">
        <v>4577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49</v>
      </c>
      <c r="H276" s="99">
        <f t="shared" si="15"/>
        <v>1</v>
      </c>
      <c r="I276" s="99">
        <f t="shared" si="13"/>
        <v>182400000</v>
      </c>
      <c r="J276" s="99">
        <f t="shared" si="20"/>
        <v>0</v>
      </c>
      <c r="K276" s="99">
        <f t="shared" si="17"/>
        <v>182400000</v>
      </c>
    </row>
    <row r="277" spans="1:12">
      <c r="A277" s="99" t="s">
        <v>4589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48</v>
      </c>
      <c r="H277" s="99">
        <f t="shared" si="15"/>
        <v>1</v>
      </c>
      <c r="I277" s="99">
        <f t="shared" si="13"/>
        <v>987000000</v>
      </c>
      <c r="J277" s="99">
        <f t="shared" si="20"/>
        <v>0</v>
      </c>
      <c r="K277" s="99">
        <f t="shared" si="17"/>
        <v>987000000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47</v>
      </c>
      <c r="H278" s="99">
        <f t="shared" si="15"/>
        <v>1</v>
      </c>
      <c r="I278" s="99">
        <f t="shared" si="13"/>
        <v>138000000</v>
      </c>
      <c r="J278" s="99">
        <f t="shared" si="20"/>
        <v>0</v>
      </c>
      <c r="K278" s="99">
        <f t="shared" si="17"/>
        <v>138000000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47</v>
      </c>
      <c r="H279" s="99">
        <f t="shared" si="15"/>
        <v>1</v>
      </c>
      <c r="I279" s="99">
        <f t="shared" si="13"/>
        <v>92000000</v>
      </c>
      <c r="J279" s="99">
        <f t="shared" si="20"/>
        <v>0</v>
      </c>
      <c r="K279" s="99">
        <f t="shared" si="17"/>
        <v>92000000</v>
      </c>
    </row>
    <row r="280" spans="1:12">
      <c r="A280" s="99" t="s">
        <v>4595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46</v>
      </c>
      <c r="H280" s="99">
        <f t="shared" si="15"/>
        <v>0</v>
      </c>
      <c r="I280" s="99">
        <f t="shared" si="13"/>
        <v>-92000000</v>
      </c>
      <c r="J280" s="99">
        <f t="shared" si="20"/>
        <v>0</v>
      </c>
      <c r="K280" s="99">
        <f t="shared" si="17"/>
        <v>-92000000</v>
      </c>
    </row>
    <row r="281" spans="1:12">
      <c r="A281" s="99" t="s">
        <v>4597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45</v>
      </c>
      <c r="H281" s="99">
        <f t="shared" si="15"/>
        <v>0</v>
      </c>
      <c r="I281" s="99">
        <f t="shared" si="13"/>
        <v>-450000000</v>
      </c>
      <c r="J281" s="99">
        <f t="shared" si="20"/>
        <v>0</v>
      </c>
      <c r="K281" s="99">
        <f t="shared" si="17"/>
        <v>-450000000</v>
      </c>
    </row>
    <row r="282" spans="1:12">
      <c r="A282" s="99" t="s">
        <v>4599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41</v>
      </c>
      <c r="H282" s="99">
        <f t="shared" si="15"/>
        <v>0</v>
      </c>
      <c r="I282" s="99">
        <f t="shared" si="13"/>
        <v>-684700000</v>
      </c>
      <c r="J282" s="99">
        <f t="shared" ref="J282:J296" si="22">C282*(G282-H282)</f>
        <v>0</v>
      </c>
      <c r="K282" s="99">
        <f t="shared" ref="K282:K296" si="23">D282*(G282-H282)</f>
        <v>-684700000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39</v>
      </c>
      <c r="H283" s="99">
        <f t="shared" si="15"/>
        <v>1</v>
      </c>
      <c r="I283" s="99">
        <f t="shared" si="13"/>
        <v>456000000</v>
      </c>
      <c r="J283" s="99">
        <f t="shared" si="22"/>
        <v>0</v>
      </c>
      <c r="K283" s="99">
        <f t="shared" si="23"/>
        <v>456000000</v>
      </c>
    </row>
    <row r="284" spans="1:12">
      <c r="A284" s="99" t="s">
        <v>4613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38</v>
      </c>
      <c r="H284" s="99">
        <f t="shared" si="15"/>
        <v>1</v>
      </c>
      <c r="I284" s="99">
        <f t="shared" si="13"/>
        <v>70300000</v>
      </c>
      <c r="J284" s="99">
        <f t="shared" si="22"/>
        <v>0</v>
      </c>
      <c r="K284" s="99">
        <f t="shared" si="23"/>
        <v>70300000</v>
      </c>
    </row>
    <row r="285" spans="1:12">
      <c r="A285" s="99" t="s">
        <v>4613</v>
      </c>
      <c r="B285" s="18">
        <v>-3995000</v>
      </c>
      <c r="C285" s="18">
        <v>0</v>
      </c>
      <c r="D285" s="18">
        <f t="shared" si="18"/>
        <v>-3995000</v>
      </c>
      <c r="E285" s="99" t="s">
        <v>4615</v>
      </c>
      <c r="F285" s="99">
        <v>3</v>
      </c>
      <c r="G285" s="36">
        <f t="shared" si="21"/>
        <v>38</v>
      </c>
      <c r="H285" s="99">
        <f t="shared" si="15"/>
        <v>0</v>
      </c>
      <c r="I285" s="99">
        <f t="shared" si="13"/>
        <v>-151810000</v>
      </c>
      <c r="J285" s="99">
        <f t="shared" si="22"/>
        <v>0</v>
      </c>
      <c r="K285" s="99">
        <f t="shared" si="23"/>
        <v>-151810000</v>
      </c>
    </row>
    <row r="286" spans="1:12">
      <c r="A286" s="99" t="s">
        <v>4623</v>
      </c>
      <c r="B286" s="18">
        <v>-2010700</v>
      </c>
      <c r="C286" s="18">
        <v>0</v>
      </c>
      <c r="D286" s="18">
        <f t="shared" si="18"/>
        <v>-2010700</v>
      </c>
      <c r="E286" s="99" t="s">
        <v>4628</v>
      </c>
      <c r="F286" s="99">
        <v>0</v>
      </c>
      <c r="G286" s="36">
        <f t="shared" si="21"/>
        <v>35</v>
      </c>
      <c r="H286" s="99">
        <f t="shared" si="15"/>
        <v>0</v>
      </c>
      <c r="I286" s="99">
        <f t="shared" si="13"/>
        <v>-70374500</v>
      </c>
      <c r="J286" s="99">
        <f t="shared" si="22"/>
        <v>0</v>
      </c>
      <c r="K286" s="99">
        <f t="shared" si="23"/>
        <v>-70374500</v>
      </c>
    </row>
    <row r="287" spans="1:12">
      <c r="A287" s="99" t="s">
        <v>4623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35</v>
      </c>
      <c r="H287" s="99">
        <f t="shared" si="15"/>
        <v>0</v>
      </c>
      <c r="I287" s="99">
        <f t="shared" si="13"/>
        <v>-140000000</v>
      </c>
      <c r="J287" s="99">
        <f t="shared" si="22"/>
        <v>0</v>
      </c>
      <c r="K287" s="99">
        <f t="shared" si="23"/>
        <v>-140000000</v>
      </c>
    </row>
    <row r="288" spans="1:12">
      <c r="A288" s="99" t="s">
        <v>4629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34</v>
      </c>
      <c r="H288" s="99">
        <f t="shared" si="15"/>
        <v>0</v>
      </c>
      <c r="I288" s="99">
        <f t="shared" si="13"/>
        <v>-193800000</v>
      </c>
      <c r="J288" s="99">
        <f t="shared" si="22"/>
        <v>0</v>
      </c>
      <c r="K288" s="99">
        <f t="shared" si="23"/>
        <v>-193800000</v>
      </c>
      <c r="L288" t="s">
        <v>25</v>
      </c>
    </row>
    <row r="289" spans="1:13">
      <c r="A289" s="99" t="s">
        <v>4639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32</v>
      </c>
      <c r="H289" s="99">
        <f t="shared" si="15"/>
        <v>1</v>
      </c>
      <c r="I289" s="99">
        <f t="shared" si="13"/>
        <v>248000000</v>
      </c>
      <c r="J289" s="99">
        <f t="shared" si="22"/>
        <v>0</v>
      </c>
      <c r="K289" s="99">
        <f t="shared" si="23"/>
        <v>248000000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31</v>
      </c>
      <c r="H290" s="99">
        <f t="shared" si="15"/>
        <v>0</v>
      </c>
      <c r="I290" s="99">
        <f t="shared" si="13"/>
        <v>-248000000</v>
      </c>
      <c r="J290" s="99">
        <f t="shared" si="22"/>
        <v>0</v>
      </c>
      <c r="K290" s="99">
        <f t="shared" si="23"/>
        <v>-248000000</v>
      </c>
    </row>
    <row r="291" spans="1:13">
      <c r="A291" s="99" t="s">
        <v>4644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28</v>
      </c>
      <c r="H291" s="99">
        <f t="shared" si="15"/>
        <v>0</v>
      </c>
      <c r="I291" s="99">
        <f t="shared" si="13"/>
        <v>-168000000</v>
      </c>
      <c r="J291" s="99">
        <f t="shared" si="22"/>
        <v>0</v>
      </c>
      <c r="K291" s="99">
        <f t="shared" si="23"/>
        <v>-168000000</v>
      </c>
    </row>
    <row r="292" spans="1:13">
      <c r="A292" s="99" t="s">
        <v>4644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28</v>
      </c>
      <c r="H292" s="99">
        <f t="shared" si="15"/>
        <v>0</v>
      </c>
      <c r="I292" s="99">
        <f t="shared" si="13"/>
        <v>-2164820</v>
      </c>
      <c r="J292" s="99">
        <f t="shared" si="22"/>
        <v>0</v>
      </c>
      <c r="K292" s="99">
        <f t="shared" si="23"/>
        <v>-2164820</v>
      </c>
    </row>
    <row r="293" spans="1:13">
      <c r="A293" s="99" t="s">
        <v>4650</v>
      </c>
      <c r="B293" s="18">
        <v>-96850</v>
      </c>
      <c r="C293" s="18">
        <v>0</v>
      </c>
      <c r="D293" s="18">
        <f t="shared" si="18"/>
        <v>-96850</v>
      </c>
      <c r="E293" s="99" t="s">
        <v>4657</v>
      </c>
      <c r="F293" s="99">
        <v>2</v>
      </c>
      <c r="G293" s="36">
        <f t="shared" si="21"/>
        <v>27</v>
      </c>
      <c r="H293" s="99">
        <f t="shared" si="15"/>
        <v>0</v>
      </c>
      <c r="I293" s="99">
        <f t="shared" si="13"/>
        <v>-2614950</v>
      </c>
      <c r="J293" s="99">
        <f t="shared" si="22"/>
        <v>0</v>
      </c>
      <c r="K293" s="99">
        <f t="shared" si="23"/>
        <v>-2614950</v>
      </c>
    </row>
    <row r="294" spans="1:13">
      <c r="A294" s="99" t="s">
        <v>4661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25</v>
      </c>
      <c r="H294" s="99">
        <f t="shared" si="15"/>
        <v>0</v>
      </c>
      <c r="I294" s="99">
        <f t="shared" si="13"/>
        <v>-1125000</v>
      </c>
      <c r="J294" s="99">
        <f t="shared" si="22"/>
        <v>0</v>
      </c>
      <c r="K294" s="99">
        <f t="shared" si="23"/>
        <v>-1125000</v>
      </c>
    </row>
    <row r="295" spans="1:13">
      <c r="A295" s="99" t="s">
        <v>4661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25</v>
      </c>
      <c r="H295" s="99">
        <f t="shared" si="15"/>
        <v>0</v>
      </c>
      <c r="I295" s="99">
        <f t="shared" si="13"/>
        <v>-1196200</v>
      </c>
      <c r="J295" s="99">
        <f t="shared" si="22"/>
        <v>0</v>
      </c>
      <c r="K295" s="99">
        <f t="shared" si="23"/>
        <v>-1196200</v>
      </c>
      <c r="M295" t="s">
        <v>25</v>
      </c>
    </row>
    <row r="296" spans="1:13">
      <c r="A296" s="99" t="s">
        <v>4677</v>
      </c>
      <c r="B296" s="18">
        <v>-200000</v>
      </c>
      <c r="C296" s="18">
        <v>0</v>
      </c>
      <c r="D296" s="18">
        <f t="shared" si="18"/>
        <v>-200000</v>
      </c>
      <c r="E296" s="99" t="s">
        <v>4678</v>
      </c>
      <c r="F296" s="99">
        <v>3</v>
      </c>
      <c r="G296" s="36">
        <f t="shared" si="21"/>
        <v>24</v>
      </c>
      <c r="H296" s="99">
        <f t="shared" si="15"/>
        <v>0</v>
      </c>
      <c r="I296" s="99">
        <f t="shared" si="13"/>
        <v>-4800000</v>
      </c>
      <c r="J296" s="99">
        <f t="shared" si="22"/>
        <v>0</v>
      </c>
      <c r="K296" s="99">
        <f t="shared" si="23"/>
        <v>-4800000</v>
      </c>
    </row>
    <row r="297" spans="1:13">
      <c r="A297" s="99" t="s">
        <v>4689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21</v>
      </c>
      <c r="H297" s="99">
        <f t="shared" si="15"/>
        <v>0</v>
      </c>
      <c r="I297" s="99">
        <f t="shared" ref="I297:I308" si="24">B297*(G297-H297)</f>
        <v>-1269660</v>
      </c>
      <c r="J297" s="99">
        <f t="shared" ref="J297:J308" si="25">C297*(G297-H297)</f>
        <v>0</v>
      </c>
      <c r="K297" s="99">
        <f t="shared" ref="K297:K308" si="26">D297*(G297-H297)</f>
        <v>-1269660</v>
      </c>
    </row>
    <row r="298" spans="1:13">
      <c r="A298" s="99" t="s">
        <v>4695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20</v>
      </c>
      <c r="H298" s="99">
        <f t="shared" si="15"/>
        <v>0</v>
      </c>
      <c r="I298" s="99">
        <f t="shared" si="24"/>
        <v>-1200000</v>
      </c>
      <c r="J298" s="99">
        <f t="shared" si="25"/>
        <v>0</v>
      </c>
      <c r="K298" s="99">
        <f t="shared" si="26"/>
        <v>-1200000</v>
      </c>
    </row>
    <row r="299" spans="1:13">
      <c r="A299" s="99" t="s">
        <v>4695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20</v>
      </c>
      <c r="H299" s="99">
        <f t="shared" si="15"/>
        <v>1</v>
      </c>
      <c r="I299" s="99">
        <f t="shared" si="24"/>
        <v>45600000</v>
      </c>
      <c r="J299" s="99">
        <f t="shared" si="25"/>
        <v>0</v>
      </c>
      <c r="K299" s="99">
        <f t="shared" si="26"/>
        <v>45600000</v>
      </c>
    </row>
    <row r="300" spans="1:13">
      <c r="A300" s="99" t="s">
        <v>4695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20</v>
      </c>
      <c r="H300" s="99">
        <f t="shared" si="15"/>
        <v>0</v>
      </c>
      <c r="I300" s="99">
        <f t="shared" si="24"/>
        <v>-2743260</v>
      </c>
      <c r="J300" s="99">
        <f t="shared" si="25"/>
        <v>0</v>
      </c>
      <c r="K300" s="99">
        <f t="shared" si="26"/>
        <v>-2743260</v>
      </c>
      <c r="L300" t="s">
        <v>25</v>
      </c>
      <c r="M300" t="s">
        <v>25</v>
      </c>
    </row>
    <row r="301" spans="1:13">
      <c r="A301" s="99" t="s">
        <v>4695</v>
      </c>
      <c r="B301" s="18">
        <v>-51400</v>
      </c>
      <c r="C301" s="18">
        <v>0</v>
      </c>
      <c r="D301" s="18">
        <f t="shared" si="18"/>
        <v>-51400</v>
      </c>
      <c r="E301" s="99" t="s">
        <v>4702</v>
      </c>
      <c r="F301" s="99">
        <v>1</v>
      </c>
      <c r="G301" s="36">
        <f t="shared" si="27"/>
        <v>20</v>
      </c>
      <c r="H301" s="99">
        <f t="shared" si="15"/>
        <v>0</v>
      </c>
      <c r="I301" s="99">
        <f t="shared" si="24"/>
        <v>-1028000</v>
      </c>
      <c r="J301" s="99">
        <f t="shared" si="25"/>
        <v>0</v>
      </c>
      <c r="K301" s="99">
        <f t="shared" si="26"/>
        <v>-1028000</v>
      </c>
    </row>
    <row r="302" spans="1:13">
      <c r="A302" s="99" t="s">
        <v>4705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19</v>
      </c>
      <c r="H302" s="99">
        <f t="shared" si="15"/>
        <v>0</v>
      </c>
      <c r="I302" s="99">
        <f t="shared" si="24"/>
        <v>-42750000</v>
      </c>
      <c r="J302" s="99">
        <f t="shared" si="25"/>
        <v>0</v>
      </c>
      <c r="K302" s="99">
        <f t="shared" si="26"/>
        <v>-42750000</v>
      </c>
      <c r="M302" t="s">
        <v>25</v>
      </c>
    </row>
    <row r="303" spans="1:13">
      <c r="A303" s="99" t="s">
        <v>4705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19</v>
      </c>
      <c r="H303" s="99">
        <f t="shared" si="15"/>
        <v>1</v>
      </c>
      <c r="I303" s="99">
        <f t="shared" si="24"/>
        <v>12600000</v>
      </c>
      <c r="J303" s="99">
        <f t="shared" si="25"/>
        <v>0</v>
      </c>
      <c r="K303" s="99">
        <f t="shared" si="26"/>
        <v>12600000</v>
      </c>
    </row>
    <row r="304" spans="1:13">
      <c r="A304" s="99" t="s">
        <v>4738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17</v>
      </c>
      <c r="H304" s="99">
        <f t="shared" si="15"/>
        <v>1</v>
      </c>
      <c r="I304" s="99">
        <f t="shared" si="24"/>
        <v>9120000</v>
      </c>
      <c r="J304" s="99">
        <f t="shared" si="25"/>
        <v>0</v>
      </c>
      <c r="K304" s="99">
        <f t="shared" si="26"/>
        <v>9120000</v>
      </c>
    </row>
    <row r="305" spans="1:13">
      <c r="A305" s="99" t="s">
        <v>4738</v>
      </c>
      <c r="B305" s="18">
        <v>-276773</v>
      </c>
      <c r="C305" s="18">
        <v>0</v>
      </c>
      <c r="D305" s="18">
        <f t="shared" si="18"/>
        <v>-276773</v>
      </c>
      <c r="E305" s="99" t="s">
        <v>4744</v>
      </c>
      <c r="F305" s="99">
        <v>2</v>
      </c>
      <c r="G305" s="36">
        <f t="shared" si="27"/>
        <v>17</v>
      </c>
      <c r="H305" s="99">
        <f t="shared" si="15"/>
        <v>0</v>
      </c>
      <c r="I305" s="99">
        <f t="shared" si="24"/>
        <v>-4705141</v>
      </c>
      <c r="J305" s="99">
        <f t="shared" si="25"/>
        <v>0</v>
      </c>
      <c r="K305" s="99">
        <f t="shared" si="26"/>
        <v>-4705141</v>
      </c>
    </row>
    <row r="306" spans="1:13">
      <c r="A306" s="99" t="s">
        <v>4745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15</v>
      </c>
      <c r="H306" s="99">
        <f t="shared" si="15"/>
        <v>0</v>
      </c>
      <c r="I306" s="99">
        <f t="shared" si="24"/>
        <v>-1720650</v>
      </c>
      <c r="J306" s="99">
        <f t="shared" si="25"/>
        <v>0</v>
      </c>
      <c r="K306" s="99">
        <f t="shared" si="26"/>
        <v>-1720650</v>
      </c>
      <c r="M306" t="s">
        <v>25</v>
      </c>
    </row>
    <row r="307" spans="1:13">
      <c r="A307" s="99" t="s">
        <v>4761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11</v>
      </c>
      <c r="H307" s="99">
        <f t="shared" si="15"/>
        <v>0</v>
      </c>
      <c r="I307" s="99">
        <f t="shared" si="24"/>
        <v>-11000</v>
      </c>
      <c r="J307" s="99">
        <f t="shared" si="25"/>
        <v>0</v>
      </c>
      <c r="K307" s="99">
        <f t="shared" si="26"/>
        <v>-11000</v>
      </c>
    </row>
    <row r="308" spans="1:13">
      <c r="A308" s="99" t="s">
        <v>4768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10</v>
      </c>
      <c r="H308" s="99">
        <f t="shared" si="15"/>
        <v>1</v>
      </c>
      <c r="I308" s="99">
        <f t="shared" si="24"/>
        <v>2250000</v>
      </c>
      <c r="J308" s="99">
        <f t="shared" si="25"/>
        <v>0</v>
      </c>
      <c r="K308" s="99">
        <f t="shared" si="26"/>
        <v>2250000</v>
      </c>
    </row>
    <row r="309" spans="1:13">
      <c r="A309" s="99" t="s">
        <v>4768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10</v>
      </c>
      <c r="H309" s="99">
        <f t="shared" ref="H309:H325" si="29">IF(B309&gt;0,1,0)</f>
        <v>0</v>
      </c>
      <c r="I309" s="99">
        <f t="shared" ref="I309:I325" si="30">B309*(G309-H309)</f>
        <v>-551200</v>
      </c>
      <c r="J309" s="99">
        <f t="shared" ref="J309:J325" si="31">C309*(G309-H309)</f>
        <v>0</v>
      </c>
      <c r="K309" s="99">
        <f t="shared" ref="K309:K325" si="32">D309*(G309-H309)</f>
        <v>-551200</v>
      </c>
    </row>
    <row r="310" spans="1:13">
      <c r="A310" s="99" t="s">
        <v>4782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7</v>
      </c>
      <c r="H310" s="99">
        <f t="shared" si="29"/>
        <v>0</v>
      </c>
      <c r="I310" s="99">
        <f t="shared" si="30"/>
        <v>-805000</v>
      </c>
      <c r="J310" s="99">
        <f t="shared" si="31"/>
        <v>0</v>
      </c>
      <c r="K310" s="99">
        <f t="shared" si="32"/>
        <v>-805000</v>
      </c>
    </row>
    <row r="311" spans="1:13">
      <c r="A311" s="99" t="s">
        <v>4771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6</v>
      </c>
      <c r="H311" s="99">
        <f t="shared" si="29"/>
        <v>0</v>
      </c>
      <c r="I311" s="99">
        <f t="shared" si="30"/>
        <v>-1287294</v>
      </c>
      <c r="J311" s="99">
        <f t="shared" si="31"/>
        <v>0</v>
      </c>
      <c r="K311" s="99">
        <f t="shared" si="32"/>
        <v>-1287294</v>
      </c>
      <c r="L311" t="s">
        <v>25</v>
      </c>
    </row>
    <row r="312" spans="1:13">
      <c r="A312" s="99" t="s">
        <v>4773</v>
      </c>
      <c r="B312" s="18">
        <v>-324747</v>
      </c>
      <c r="C312" s="18">
        <v>0</v>
      </c>
      <c r="D312" s="18">
        <f t="shared" si="18"/>
        <v>-324747</v>
      </c>
      <c r="E312" s="99" t="s">
        <v>4783</v>
      </c>
      <c r="F312" s="99">
        <v>3</v>
      </c>
      <c r="G312" s="36">
        <f t="shared" si="28"/>
        <v>4</v>
      </c>
      <c r="H312" s="99">
        <f t="shared" si="29"/>
        <v>0</v>
      </c>
      <c r="I312" s="99">
        <f t="shared" si="30"/>
        <v>-1298988</v>
      </c>
      <c r="J312" s="99">
        <f t="shared" si="31"/>
        <v>0</v>
      </c>
      <c r="K312" s="99">
        <f t="shared" si="32"/>
        <v>-1298988</v>
      </c>
      <c r="M312" t="s">
        <v>25</v>
      </c>
    </row>
    <row r="313" spans="1:13">
      <c r="A313" s="99" t="s">
        <v>4799</v>
      </c>
      <c r="B313" s="18">
        <v>-297992</v>
      </c>
      <c r="C313" s="18">
        <v>0</v>
      </c>
      <c r="D313" s="18">
        <f t="shared" si="18"/>
        <v>-297992</v>
      </c>
      <c r="E313" s="99" t="s">
        <v>4800</v>
      </c>
      <c r="F313" s="99">
        <v>1</v>
      </c>
      <c r="G313" s="36">
        <f t="shared" si="28"/>
        <v>1</v>
      </c>
      <c r="H313" s="99">
        <f t="shared" si="29"/>
        <v>0</v>
      </c>
      <c r="I313" s="99">
        <f t="shared" si="30"/>
        <v>-297992</v>
      </c>
      <c r="J313" s="99">
        <f t="shared" si="31"/>
        <v>0</v>
      </c>
      <c r="K313" s="99">
        <f t="shared" si="32"/>
        <v>-297992</v>
      </c>
    </row>
    <row r="314" spans="1:13">
      <c r="A314" s="99"/>
      <c r="B314" s="18"/>
      <c r="C314" s="18"/>
      <c r="D314" s="18"/>
      <c r="E314" s="99"/>
      <c r="F314" s="99"/>
      <c r="G314" s="36">
        <f t="shared" si="28"/>
        <v>0</v>
      </c>
      <c r="H314" s="99">
        <f t="shared" si="29"/>
        <v>0</v>
      </c>
      <c r="I314" s="99">
        <f t="shared" si="30"/>
        <v>0</v>
      </c>
      <c r="J314" s="99">
        <f t="shared" si="31"/>
        <v>0</v>
      </c>
      <c r="K314" s="99">
        <f t="shared" si="32"/>
        <v>0</v>
      </c>
    </row>
    <row r="315" spans="1:13">
      <c r="A315" s="99"/>
      <c r="B315" s="18"/>
      <c r="C315" s="18"/>
      <c r="D315" s="18"/>
      <c r="E315" s="99"/>
      <c r="F315" s="99"/>
      <c r="G315" s="36">
        <f t="shared" si="28"/>
        <v>0</v>
      </c>
      <c r="H315" s="99">
        <f t="shared" si="29"/>
        <v>0</v>
      </c>
      <c r="I315" s="99">
        <f t="shared" si="30"/>
        <v>0</v>
      </c>
      <c r="J315" s="99">
        <f t="shared" si="31"/>
        <v>0</v>
      </c>
      <c r="K315" s="99">
        <f t="shared" si="32"/>
        <v>0</v>
      </c>
    </row>
    <row r="316" spans="1:13">
      <c r="A316" s="99"/>
      <c r="B316" s="18"/>
      <c r="C316" s="18"/>
      <c r="D316" s="18"/>
      <c r="E316" s="99"/>
      <c r="F316" s="99"/>
      <c r="G316" s="36">
        <f t="shared" si="28"/>
        <v>0</v>
      </c>
      <c r="H316" s="99">
        <f t="shared" si="29"/>
        <v>0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B326" s="29">
        <f>SUM(B2:B325)</f>
        <v>224414</v>
      </c>
      <c r="C326" s="29">
        <f>SUM(C2:C325)</f>
        <v>0</v>
      </c>
      <c r="D326" s="29">
        <f>SUM(D2:D325)</f>
        <v>224414</v>
      </c>
      <c r="E326" s="11"/>
      <c r="F326" s="11"/>
      <c r="G326" s="11"/>
      <c r="H326" s="11"/>
      <c r="I326" s="29">
        <f>SUM(I2:I325)</f>
        <v>19186401574</v>
      </c>
      <c r="J326" s="29">
        <f>SUM(J2:J325)</f>
        <v>8687685429</v>
      </c>
      <c r="K326" s="29">
        <f>SUM(K2:K325)</f>
        <v>10498716145</v>
      </c>
    </row>
    <row r="327" spans="1:11"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B329" s="11"/>
      <c r="C329" s="11"/>
      <c r="D329" s="11"/>
      <c r="E329" s="11"/>
      <c r="F329" s="11"/>
      <c r="G329" s="11"/>
      <c r="H329" s="11"/>
      <c r="I329" s="3">
        <f>I326/G2</f>
        <v>18413053.333973128</v>
      </c>
      <c r="J329" s="29">
        <f>J326/G2</f>
        <v>8337510.0086372364</v>
      </c>
      <c r="K329" s="29">
        <f>K326/G2</f>
        <v>10075543.325335892</v>
      </c>
    </row>
    <row r="330" spans="1:11"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1421053</v>
      </c>
      <c r="G333" t="s">
        <v>25</v>
      </c>
      <c r="J333">
        <f>J326/I326*1448696</f>
        <v>655975.80044952012</v>
      </c>
      <c r="K333">
        <f>K326/I326*1448696</f>
        <v>792720.19955047977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4589</v>
      </c>
      <c r="B73" s="113">
        <v>100000</v>
      </c>
      <c r="C73" s="99" t="s">
        <v>3891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4589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4606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4607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4608</v>
      </c>
      <c r="J263" t="s">
        <v>25</v>
      </c>
      <c r="K263" t="s">
        <v>25</v>
      </c>
    </row>
    <row r="264" spans="1:11">
      <c r="A264" s="99" t="s">
        <v>4602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4623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4362</v>
      </c>
      <c r="L21" s="33" t="s">
        <v>4364</v>
      </c>
      <c r="M21" s="96" t="s">
        <v>4363</v>
      </c>
      <c r="N21" s="189" t="s">
        <v>4365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4327</v>
      </c>
      <c r="L23">
        <v>9149046982</v>
      </c>
      <c r="M23" t="s">
        <v>4328</v>
      </c>
      <c r="N23" t="s">
        <v>4329</v>
      </c>
      <c r="O23" t="s">
        <v>4330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4331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4332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4589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1"/>
  <sheetViews>
    <sheetView topLeftCell="D91" zoomScaleNormal="100" workbookViewId="0">
      <selection activeCell="N109" sqref="N109:N11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4346</v>
      </c>
      <c r="AT9" s="99" t="s">
        <v>4347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4369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4348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سارا!D326</f>
        <v>224414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4368</v>
      </c>
      <c r="V19" s="73" t="s">
        <v>4370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4464</v>
      </c>
      <c r="N20" s="113">
        <v>17964145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S62</f>
        <v>146</v>
      </c>
      <c r="T20" s="168" t="s">
        <v>4309</v>
      </c>
      <c r="U20" s="168">
        <v>192.1</v>
      </c>
      <c r="V20" s="168">
        <f t="shared" ref="V20:V36" si="6">U20*(1+$N$92+$Q$15*S20/36500)</f>
        <v>215.76672000000002</v>
      </c>
      <c r="W20" s="32">
        <f t="shared" ref="W20:W36" si="7">V20*(1+$W$19/100)</f>
        <v>220.08205440000003</v>
      </c>
      <c r="X20" s="32">
        <f t="shared" ref="X20:X36" si="8">V20*(1+$X$19/100)</f>
        <v>224.39738880000002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4477</v>
      </c>
      <c r="L21" s="117">
        <f>-N36</f>
        <v>211997609.14068538</v>
      </c>
      <c r="M21" s="168" t="s">
        <v>4301</v>
      </c>
      <c r="N21" s="113">
        <f>O21*P21</f>
        <v>12401265.800000001</v>
      </c>
      <c r="O21" s="99">
        <v>73207</v>
      </c>
      <c r="P21" s="187">
        <f>P60</f>
        <v>169.4</v>
      </c>
      <c r="Q21" s="169">
        <v>1450345</v>
      </c>
      <c r="R21" s="168" t="s">
        <v>4305</v>
      </c>
      <c r="S21" s="193">
        <f>S20-35</f>
        <v>111</v>
      </c>
      <c r="T21" s="168" t="s">
        <v>4310</v>
      </c>
      <c r="U21" s="168">
        <v>313.7</v>
      </c>
      <c r="V21" s="168">
        <f t="shared" si="6"/>
        <v>343.92520986301372</v>
      </c>
      <c r="W21" s="32">
        <f t="shared" si="7"/>
        <v>350.80371406027399</v>
      </c>
      <c r="X21" s="32">
        <f t="shared" si="8"/>
        <v>357.68221825753426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313</v>
      </c>
      <c r="AM21" s="113">
        <f t="shared" ref="AM21:AM120" si="10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4480</v>
      </c>
      <c r="L22" s="117">
        <f>-'بهمن 97'!D61</f>
        <v>-848416</v>
      </c>
      <c r="M22" s="168" t="s">
        <v>4313</v>
      </c>
      <c r="N22" s="113">
        <f>O22*P22</f>
        <v>8237656</v>
      </c>
      <c r="O22" s="99">
        <v>28504</v>
      </c>
      <c r="P22" s="187">
        <f>P57</f>
        <v>289</v>
      </c>
      <c r="Q22" s="169">
        <v>400069</v>
      </c>
      <c r="R22" s="168" t="s">
        <v>4311</v>
      </c>
      <c r="S22" s="193">
        <f>S21-1</f>
        <v>110</v>
      </c>
      <c r="T22" s="168" t="s">
        <v>4312</v>
      </c>
      <c r="U22" s="168">
        <v>314.8</v>
      </c>
      <c r="V22" s="168">
        <f t="shared" si="6"/>
        <v>344.88970520547946</v>
      </c>
      <c r="W22" s="32">
        <f t="shared" si="7"/>
        <v>351.78749930958907</v>
      </c>
      <c r="X22" s="32">
        <f t="shared" si="8"/>
        <v>358.68529341369867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312</v>
      </c>
      <c r="AM22" s="113">
        <f t="shared" si="10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4805</v>
      </c>
      <c r="N23" s="113">
        <f>O23*P23</f>
        <v>142380</v>
      </c>
      <c r="O23" s="99">
        <v>84</v>
      </c>
      <c r="P23" s="187">
        <f>P47</f>
        <v>1695</v>
      </c>
      <c r="Q23" s="169">
        <v>7118256</v>
      </c>
      <c r="R23" s="168" t="s">
        <v>4311</v>
      </c>
      <c r="S23" s="193">
        <f>S22</f>
        <v>110</v>
      </c>
      <c r="T23" s="168" t="s">
        <v>4540</v>
      </c>
      <c r="U23" s="168">
        <v>313</v>
      </c>
      <c r="V23" s="168">
        <f t="shared" si="6"/>
        <v>342.91765479452056</v>
      </c>
      <c r="W23" s="32">
        <f t="shared" si="7"/>
        <v>349.77600789041099</v>
      </c>
      <c r="X23" s="32">
        <f t="shared" si="8"/>
        <v>356.63436098630137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311</v>
      </c>
      <c r="AM23" s="113">
        <f t="shared" si="10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L72</f>
        <v>301678833.14068538</v>
      </c>
      <c r="G24" s="95">
        <f t="shared" si="0"/>
        <v>-21372487.758746743</v>
      </c>
      <c r="H24" s="11"/>
      <c r="I24" s="96"/>
      <c r="J24" s="96"/>
      <c r="K24" s="219"/>
      <c r="L24" s="117"/>
      <c r="M24" s="219" t="s">
        <v>4415</v>
      </c>
      <c r="N24" s="113">
        <f>O24*P24</f>
        <v>339507.5</v>
      </c>
      <c r="O24" s="99">
        <v>695</v>
      </c>
      <c r="P24" s="187">
        <f>P53</f>
        <v>488.5</v>
      </c>
      <c r="Q24" s="169">
        <v>595156</v>
      </c>
      <c r="R24" s="168" t="s">
        <v>4398</v>
      </c>
      <c r="S24" s="194">
        <f>S23-16</f>
        <v>94</v>
      </c>
      <c r="T24" s="168" t="s">
        <v>4401</v>
      </c>
      <c r="U24" s="168">
        <v>5808.5</v>
      </c>
      <c r="V24" s="168">
        <f t="shared" si="6"/>
        <v>6292.4037479452063</v>
      </c>
      <c r="W24" s="32">
        <f t="shared" si="7"/>
        <v>6418.2518229041107</v>
      </c>
      <c r="X24" s="32">
        <f t="shared" si="8"/>
        <v>6544.099897863015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310</v>
      </c>
      <c r="AM24" s="113">
        <f t="shared" si="10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9"/>
      <c r="L25" s="117"/>
      <c r="M25" s="219" t="s">
        <v>4790</v>
      </c>
      <c r="N25" s="113">
        <f>O25*P25</f>
        <v>150769.5</v>
      </c>
      <c r="O25" s="99">
        <v>173</v>
      </c>
      <c r="P25" s="187">
        <f>P51</f>
        <v>871.5</v>
      </c>
      <c r="Q25" s="169">
        <v>1484689</v>
      </c>
      <c r="R25" s="168" t="s">
        <v>4436</v>
      </c>
      <c r="S25" s="168">
        <f>S24-7</f>
        <v>87</v>
      </c>
      <c r="T25" s="19" t="s">
        <v>4439</v>
      </c>
      <c r="U25" s="168">
        <v>5474</v>
      </c>
      <c r="V25" s="168">
        <f t="shared" si="6"/>
        <v>5900.6420602739727</v>
      </c>
      <c r="W25" s="32">
        <f t="shared" si="7"/>
        <v>6018.6549014794518</v>
      </c>
      <c r="X25" s="32">
        <f t="shared" si="8"/>
        <v>6136.6677426849319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298</v>
      </c>
      <c r="AM25" s="113">
        <f t="shared" si="10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4400</v>
      </c>
      <c r="N26" s="113">
        <f>O26*P26</f>
        <v>4154076</v>
      </c>
      <c r="O26" s="99">
        <v>828</v>
      </c>
      <c r="P26" s="99">
        <f>P50</f>
        <v>5017</v>
      </c>
      <c r="Q26" s="169">
        <v>2197673</v>
      </c>
      <c r="R26" s="168" t="s">
        <v>4436</v>
      </c>
      <c r="S26" s="168">
        <f>S25</f>
        <v>87</v>
      </c>
      <c r="T26" s="19" t="s">
        <v>4440</v>
      </c>
      <c r="U26" s="168">
        <v>5349</v>
      </c>
      <c r="V26" s="168">
        <f t="shared" si="6"/>
        <v>5765.8995945205479</v>
      </c>
      <c r="W26" s="32">
        <f>V26*(1+$W$19/100)</f>
        <v>5881.2175864109586</v>
      </c>
      <c r="X26" s="32">
        <f t="shared" si="8"/>
        <v>5996.5355783013702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292</v>
      </c>
      <c r="AM26" s="113">
        <f t="shared" si="10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1353959</v>
      </c>
      <c r="R27" s="168" t="s">
        <v>4436</v>
      </c>
      <c r="S27" s="200">
        <f>S26</f>
        <v>87</v>
      </c>
      <c r="T27" s="19" t="s">
        <v>4482</v>
      </c>
      <c r="U27" s="168">
        <v>192.2</v>
      </c>
      <c r="V27" s="168">
        <f t="shared" si="6"/>
        <v>207.18001534246574</v>
      </c>
      <c r="W27" s="32">
        <f t="shared" si="7"/>
        <v>211.32361564931506</v>
      </c>
      <c r="X27" s="32">
        <f t="shared" si="8"/>
        <v>215.46721595616438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291</v>
      </c>
      <c r="AM27" s="113">
        <f t="shared" si="10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1" t="s">
        <v>4466</v>
      </c>
      <c r="N28" s="113">
        <v>1364</v>
      </c>
      <c r="O28" s="69" t="s">
        <v>25</v>
      </c>
      <c r="P28" s="99"/>
      <c r="Q28" s="169">
        <v>1614398</v>
      </c>
      <c r="R28" s="168" t="s">
        <v>4444</v>
      </c>
      <c r="S28" s="168">
        <f>S27-3</f>
        <v>84</v>
      </c>
      <c r="T28" s="19" t="s">
        <v>4519</v>
      </c>
      <c r="U28" s="168">
        <v>184.6</v>
      </c>
      <c r="V28" s="168">
        <f t="shared" si="6"/>
        <v>198.5628405479452</v>
      </c>
      <c r="W28" s="32">
        <f t="shared" si="7"/>
        <v>202.53409735890412</v>
      </c>
      <c r="X28" s="32">
        <f t="shared" si="8"/>
        <v>206.50535416986301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290</v>
      </c>
      <c r="AM28" s="113">
        <f t="shared" si="10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4400</v>
      </c>
      <c r="N29" s="113">
        <f>O29*P29</f>
        <v>235799</v>
      </c>
      <c r="O29" s="69">
        <v>47</v>
      </c>
      <c r="P29" s="99">
        <f>P50</f>
        <v>5017</v>
      </c>
      <c r="Q29" s="169">
        <v>133576</v>
      </c>
      <c r="R29" s="168" t="s">
        <v>4526</v>
      </c>
      <c r="S29" s="199">
        <f>S28-22</f>
        <v>62</v>
      </c>
      <c r="T29" s="168" t="s">
        <v>4527</v>
      </c>
      <c r="U29" s="168">
        <v>166.2</v>
      </c>
      <c r="V29" s="168">
        <f t="shared" si="6"/>
        <v>175.96618520547943</v>
      </c>
      <c r="W29" s="32">
        <f t="shared" si="7"/>
        <v>179.48550890958902</v>
      </c>
      <c r="X29" s="32">
        <f t="shared" si="8"/>
        <v>183.00483261369862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285</v>
      </c>
      <c r="AM29" s="113">
        <f t="shared" si="10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9"/>
      <c r="L30" s="117"/>
      <c r="M30" s="191" t="s">
        <v>4804</v>
      </c>
      <c r="N30" s="113">
        <f>O30*P30</f>
        <v>154245</v>
      </c>
      <c r="O30" s="69">
        <v>91</v>
      </c>
      <c r="P30" s="99">
        <f>P47</f>
        <v>1695</v>
      </c>
      <c r="Q30" s="169">
        <v>220803</v>
      </c>
      <c r="R30" s="168" t="s">
        <v>4231</v>
      </c>
      <c r="S30" s="199">
        <f>S29-1</f>
        <v>61</v>
      </c>
      <c r="T30" s="168" t="s">
        <v>4533</v>
      </c>
      <c r="U30" s="168">
        <v>166</v>
      </c>
      <c r="V30" s="168">
        <f t="shared" si="6"/>
        <v>175.62709041095891</v>
      </c>
      <c r="W30" s="32">
        <f t="shared" si="7"/>
        <v>179.13963221917808</v>
      </c>
      <c r="X30" s="32">
        <f t="shared" si="8"/>
        <v>182.65217402739728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284</v>
      </c>
      <c r="AM30" s="113">
        <f t="shared" si="10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219"/>
      <c r="L31" s="117"/>
      <c r="M31" s="191" t="s">
        <v>4415</v>
      </c>
      <c r="N31" s="113">
        <f>O31*P31</f>
        <v>340973</v>
      </c>
      <c r="O31" s="69">
        <v>698</v>
      </c>
      <c r="P31" s="99">
        <f>P53</f>
        <v>488.5</v>
      </c>
      <c r="Q31" s="169">
        <v>1023940</v>
      </c>
      <c r="R31" s="168" t="s">
        <v>4534</v>
      </c>
      <c r="S31" s="199">
        <f>S30-2</f>
        <v>59</v>
      </c>
      <c r="T31" s="168" t="s">
        <v>4541</v>
      </c>
      <c r="U31" s="168">
        <v>160.19999999999999</v>
      </c>
      <c r="V31" s="168">
        <f t="shared" si="6"/>
        <v>169.24493589041094</v>
      </c>
      <c r="W31" s="32">
        <f t="shared" si="7"/>
        <v>172.62983460821917</v>
      </c>
      <c r="X31" s="32">
        <f t="shared" si="8"/>
        <v>176.0147333260274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0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219"/>
      <c r="L32" s="117"/>
      <c r="M32" s="191" t="s">
        <v>4790</v>
      </c>
      <c r="N32" s="113">
        <f>O32*P32</f>
        <v>150769.5</v>
      </c>
      <c r="O32" s="69">
        <v>173</v>
      </c>
      <c r="P32" s="99">
        <f>P51</f>
        <v>871.5</v>
      </c>
      <c r="Q32" s="169">
        <v>168846</v>
      </c>
      <c r="R32" s="168" t="s">
        <v>3691</v>
      </c>
      <c r="S32" s="199">
        <f>S31-28</f>
        <v>31</v>
      </c>
      <c r="T32" s="168" t="s">
        <v>4642</v>
      </c>
      <c r="U32" s="168">
        <v>172.2</v>
      </c>
      <c r="V32" s="168">
        <f t="shared" si="6"/>
        <v>178.22369753424658</v>
      </c>
      <c r="W32" s="32">
        <f t="shared" si="7"/>
        <v>181.78817148493152</v>
      </c>
      <c r="X32" s="32">
        <f t="shared" si="8"/>
        <v>185.35264543561647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278</v>
      </c>
      <c r="AM32" s="113">
        <f t="shared" si="10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91" t="s">
        <v>4445</v>
      </c>
      <c r="N33" s="113">
        <f>O33*P33</f>
        <v>2936549</v>
      </c>
      <c r="O33" s="69">
        <v>17335</v>
      </c>
      <c r="P33" s="99">
        <f>P60</f>
        <v>169.4</v>
      </c>
      <c r="Q33" s="169">
        <v>250962</v>
      </c>
      <c r="R33" s="168" t="s">
        <v>4689</v>
      </c>
      <c r="S33" s="199">
        <f>S32-10</f>
        <v>21</v>
      </c>
      <c r="T33" s="168" t="s">
        <v>4690</v>
      </c>
      <c r="U33" s="168">
        <v>5315.5</v>
      </c>
      <c r="V33" s="168">
        <f t="shared" si="6"/>
        <v>5460.6641205479455</v>
      </c>
      <c r="W33" s="32">
        <f t="shared" si="7"/>
        <v>5569.8774029589049</v>
      </c>
      <c r="X33" s="32">
        <f t="shared" si="8"/>
        <v>5679.0906853698634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262</v>
      </c>
      <c r="AM33" s="113">
        <f t="shared" si="10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350718</v>
      </c>
      <c r="R34" s="219" t="s">
        <v>4747</v>
      </c>
      <c r="S34" s="199">
        <f>S33-7</f>
        <v>14</v>
      </c>
      <c r="T34" s="219" t="s">
        <v>4748</v>
      </c>
      <c r="U34" s="219">
        <v>502.3</v>
      </c>
      <c r="V34" s="219">
        <f t="shared" si="6"/>
        <v>513.3203243835618</v>
      </c>
      <c r="W34" s="32">
        <f t="shared" si="7"/>
        <v>523.58673087123304</v>
      </c>
      <c r="X34" s="32">
        <f t="shared" si="8"/>
        <v>533.85313735890429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262</v>
      </c>
      <c r="AM34" s="113">
        <f t="shared" si="10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144241</v>
      </c>
      <c r="R35" s="219" t="s">
        <v>4776</v>
      </c>
      <c r="S35" s="199">
        <f>S34-11</f>
        <v>3</v>
      </c>
      <c r="T35" s="219" t="s">
        <v>4791</v>
      </c>
      <c r="U35" s="219">
        <v>830</v>
      </c>
      <c r="V35" s="219">
        <f t="shared" si="6"/>
        <v>841.20613698630143</v>
      </c>
      <c r="W35" s="32">
        <f t="shared" si="7"/>
        <v>858.03025972602745</v>
      </c>
      <c r="X35" s="32">
        <f t="shared" si="8"/>
        <v>874.85438246575347</v>
      </c>
      <c r="Y35" s="96"/>
      <c r="Z35" s="96"/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250</v>
      </c>
      <c r="AM35" s="113">
        <f t="shared" si="10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-S135</f>
        <v>-211997609.14068538</v>
      </c>
      <c r="O36" s="96" t="s">
        <v>25</v>
      </c>
      <c r="P36" s="96" t="s">
        <v>25</v>
      </c>
      <c r="Q36" s="169">
        <v>143040</v>
      </c>
      <c r="R36" s="219" t="s">
        <v>4794</v>
      </c>
      <c r="S36" s="199">
        <f>S35-3</f>
        <v>0</v>
      </c>
      <c r="T36" s="219" t="s">
        <v>4806</v>
      </c>
      <c r="U36" s="219">
        <v>1695</v>
      </c>
      <c r="V36" s="219">
        <f t="shared" si="6"/>
        <v>1713.9840000000002</v>
      </c>
      <c r="W36" s="32">
        <f t="shared" si="7"/>
        <v>1748.2636800000002</v>
      </c>
      <c r="X36" s="32">
        <f t="shared" si="8"/>
        <v>1782.5433600000001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248</v>
      </c>
      <c r="AM36" s="113">
        <f t="shared" si="10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96"/>
      <c r="Q37" s="169"/>
      <c r="R37" s="168"/>
      <c r="S37" s="168"/>
      <c r="T37" s="168"/>
      <c r="U37" s="168"/>
      <c r="V37" s="168" t="s">
        <v>25</v>
      </c>
      <c r="W37" s="32"/>
      <c r="X37" s="32"/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248</v>
      </c>
      <c r="AM37" s="113">
        <f t="shared" si="10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1086</v>
      </c>
      <c r="L38" s="117">
        <f>'خرید و فروش سکه فیزیکی'!M40*10*P61</f>
        <v>132750000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f>SUM(N21:N26)-SUM(Q20:Q37)</f>
        <v>-2494003.1999999993</v>
      </c>
      <c r="R38" s="168"/>
      <c r="S38" s="168" t="s">
        <v>25</v>
      </c>
      <c r="T38" s="168"/>
      <c r="U38" s="168"/>
      <c r="V38" s="168"/>
      <c r="W38" s="32"/>
      <c r="X38" s="32"/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247</v>
      </c>
      <c r="AM38" s="113">
        <f t="shared" si="10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4740</v>
      </c>
      <c r="L39" s="117">
        <v>-48500000</v>
      </c>
      <c r="M39" s="73"/>
      <c r="N39" s="113"/>
      <c r="O39" s="96" t="s">
        <v>25</v>
      </c>
      <c r="P39" s="96"/>
      <c r="R39" s="115"/>
      <c r="S39" s="115" t="s">
        <v>25</v>
      </c>
      <c r="T39" s="115"/>
      <c r="U39" s="115"/>
      <c r="V39" s="115"/>
      <c r="W39" s="196"/>
      <c r="X39" s="196"/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243</v>
      </c>
      <c r="AM39" s="113">
        <f t="shared" si="10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 t="s">
        <v>4324</v>
      </c>
      <c r="L40" s="117">
        <v>-2000000</v>
      </c>
      <c r="M40" s="168" t="s">
        <v>1086</v>
      </c>
      <c r="N40" s="113">
        <f>('خرید و فروش سکه فیزیکی'!M39+3)*10*P61</f>
        <v>123750000</v>
      </c>
      <c r="O40" s="96"/>
      <c r="P40" s="96"/>
      <c r="Q40" s="96"/>
      <c r="R40" s="115"/>
      <c r="S40" s="115"/>
      <c r="T40" s="115" t="s">
        <v>25</v>
      </c>
      <c r="U40" s="115"/>
      <c r="V40" s="115"/>
      <c r="W40" s="196"/>
      <c r="X40" s="196"/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240</v>
      </c>
      <c r="AM40" s="113">
        <f t="shared" si="10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 t="s">
        <v>4516</v>
      </c>
      <c r="L41" s="117">
        <v>-1000000</v>
      </c>
      <c r="M41" s="168" t="s">
        <v>4739</v>
      </c>
      <c r="N41" s="113">
        <v>-18000000</v>
      </c>
      <c r="O41" s="96"/>
      <c r="P41" s="114"/>
      <c r="Q41" s="168" t="s">
        <v>657</v>
      </c>
      <c r="R41" s="168"/>
      <c r="S41" s="168"/>
      <c r="T41" s="168"/>
      <c r="U41" s="168"/>
      <c r="V41" s="168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236</v>
      </c>
      <c r="AM41" s="113">
        <f t="shared" si="10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 ht="30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/>
      <c r="L42" s="117"/>
      <c r="M42" s="168" t="s">
        <v>4687</v>
      </c>
      <c r="N42" s="113">
        <v>-47500000</v>
      </c>
      <c r="O42" s="96"/>
      <c r="P42" s="96"/>
      <c r="Q42" s="168" t="s">
        <v>267</v>
      </c>
      <c r="R42" s="168" t="s">
        <v>180</v>
      </c>
      <c r="S42" s="168" t="s">
        <v>183</v>
      </c>
      <c r="T42" s="168" t="s">
        <v>8</v>
      </c>
      <c r="U42" s="168" t="s">
        <v>4368</v>
      </c>
      <c r="V42" s="73" t="s">
        <v>4370</v>
      </c>
      <c r="W42" s="32">
        <v>2</v>
      </c>
      <c r="X42" s="32">
        <v>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235</v>
      </c>
      <c r="AM42" s="113">
        <f t="shared" si="10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 t="s">
        <v>4419</v>
      </c>
      <c r="L43" s="117">
        <v>3000000</v>
      </c>
      <c r="M43" s="168"/>
      <c r="N43" s="113"/>
      <c r="O43" s="96" t="s">
        <v>25</v>
      </c>
      <c r="P43" s="96"/>
      <c r="Q43" s="168">
        <v>0</v>
      </c>
      <c r="R43" s="168" t="s">
        <v>4172</v>
      </c>
      <c r="S43" s="168">
        <f>S62</f>
        <v>146</v>
      </c>
      <c r="T43" s="168"/>
      <c r="U43" s="168"/>
      <c r="V43" s="73"/>
      <c r="W43" s="32"/>
      <c r="X43" s="32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235</v>
      </c>
      <c r="AM43" s="113">
        <f t="shared" si="10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 t="s">
        <v>4625</v>
      </c>
      <c r="L44" s="117">
        <v>2000000</v>
      </c>
      <c r="M44" s="168" t="s">
        <v>4465</v>
      </c>
      <c r="N44" s="113">
        <v>357</v>
      </c>
      <c r="P44" t="s">
        <v>25</v>
      </c>
      <c r="Q44" s="169">
        <v>863944</v>
      </c>
      <c r="R44" s="168" t="s">
        <v>4444</v>
      </c>
      <c r="S44" s="168">
        <f>S43-62</f>
        <v>84</v>
      </c>
      <c r="T44" s="192" t="s">
        <v>4520</v>
      </c>
      <c r="U44" s="168">
        <v>184.6</v>
      </c>
      <c r="V44" s="168">
        <f t="shared" ref="V44:V52" si="12">U44*(1+$N$92+$Q$15*S44/36500)</f>
        <v>198.5628405479452</v>
      </c>
      <c r="W44" s="32">
        <f t="shared" ref="W44:W53" si="13">V44*(1+$W$19/100)</f>
        <v>202.53409735890412</v>
      </c>
      <c r="X44" s="32">
        <f t="shared" ref="X44:X53" si="14">V44*(1+$X$19/100)</f>
        <v>206.50535416986301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234</v>
      </c>
      <c r="AM44" s="113">
        <f t="shared" si="10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56" t="s">
        <v>4769</v>
      </c>
      <c r="L45" s="117">
        <v>-300000</v>
      </c>
      <c r="M45" s="168"/>
      <c r="N45" s="113"/>
      <c r="O45" s="99"/>
      <c r="P45" s="99"/>
      <c r="Q45" s="169">
        <v>1692313</v>
      </c>
      <c r="R45" s="168" t="s">
        <v>4523</v>
      </c>
      <c r="S45" s="199">
        <f>S44-21</f>
        <v>63</v>
      </c>
      <c r="T45" s="191" t="s">
        <v>4524</v>
      </c>
      <c r="U45" s="168">
        <v>168.5</v>
      </c>
      <c r="V45" s="168">
        <f t="shared" si="12"/>
        <v>178.53059726027399</v>
      </c>
      <c r="W45" s="32">
        <f t="shared" si="13"/>
        <v>182.10120920547948</v>
      </c>
      <c r="X45" s="32">
        <f t="shared" si="14"/>
        <v>185.67182115068496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233</v>
      </c>
      <c r="AM45" s="113">
        <f t="shared" si="10"/>
        <v>88540000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56" t="s">
        <v>4777</v>
      </c>
      <c r="L46" s="117">
        <v>-300000</v>
      </c>
      <c r="M46" s="209" t="s">
        <v>4396</v>
      </c>
      <c r="N46" s="113">
        <f>O46*P46</f>
        <v>67471382.700000003</v>
      </c>
      <c r="O46" s="99">
        <v>21393</v>
      </c>
      <c r="P46" s="99">
        <v>3153.9</v>
      </c>
      <c r="Q46" s="169">
        <v>101153</v>
      </c>
      <c r="R46" s="168" t="s">
        <v>4526</v>
      </c>
      <c r="S46" s="199">
        <f>S45-1</f>
        <v>62</v>
      </c>
      <c r="T46" s="191" t="s">
        <v>4528</v>
      </c>
      <c r="U46" s="168">
        <v>166.7</v>
      </c>
      <c r="V46" s="168">
        <f t="shared" si="12"/>
        <v>176.49556602739725</v>
      </c>
      <c r="W46" s="32">
        <f t="shared" si="13"/>
        <v>180.02547734794518</v>
      </c>
      <c r="X46" s="32">
        <f t="shared" si="14"/>
        <v>183.55538866849315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226</v>
      </c>
      <c r="AM46" s="113">
        <f t="shared" si="10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56"/>
      <c r="L47" s="117"/>
      <c r="M47" s="209" t="s">
        <v>4804</v>
      </c>
      <c r="N47" s="113">
        <f>O47*P47</f>
        <v>201705</v>
      </c>
      <c r="O47" s="99">
        <v>119</v>
      </c>
      <c r="P47" s="99">
        <v>1695</v>
      </c>
      <c r="Q47" s="169">
        <v>183105</v>
      </c>
      <c r="R47" s="168" t="s">
        <v>4231</v>
      </c>
      <c r="S47" s="199">
        <f>S46-1</f>
        <v>61</v>
      </c>
      <c r="T47" s="191" t="s">
        <v>4532</v>
      </c>
      <c r="U47" s="168">
        <v>166.6</v>
      </c>
      <c r="V47" s="168">
        <f t="shared" si="12"/>
        <v>176.26188712328769</v>
      </c>
      <c r="W47" s="32">
        <f t="shared" si="13"/>
        <v>179.78712486575344</v>
      </c>
      <c r="X47" s="32">
        <f t="shared" si="14"/>
        <v>183.31236260821922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220</v>
      </c>
      <c r="AM47" s="113">
        <f t="shared" si="10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 t="s">
        <v>4792</v>
      </c>
      <c r="L48" s="117">
        <v>-1600000</v>
      </c>
      <c r="M48" s="21" t="s">
        <v>4601</v>
      </c>
      <c r="N48" s="117">
        <f t="shared" ref="N48:N61" si="15">O48*P48</f>
        <v>681400</v>
      </c>
      <c r="O48" s="69">
        <v>2000</v>
      </c>
      <c r="P48" s="69">
        <v>340.7</v>
      </c>
      <c r="Q48" s="169">
        <v>168846</v>
      </c>
      <c r="R48" s="168" t="s">
        <v>3691</v>
      </c>
      <c r="S48" s="199">
        <f>S47-30</f>
        <v>31</v>
      </c>
      <c r="T48" s="191" t="s">
        <v>4642</v>
      </c>
      <c r="U48" s="168">
        <v>172.2</v>
      </c>
      <c r="V48" s="168">
        <f t="shared" si="12"/>
        <v>178.22369753424658</v>
      </c>
      <c r="W48" s="32">
        <f t="shared" si="13"/>
        <v>181.78817148493152</v>
      </c>
      <c r="X48" s="32">
        <f t="shared" si="14"/>
        <v>185.35264543561647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219</v>
      </c>
      <c r="AM48" s="113">
        <f t="shared" si="10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4584</v>
      </c>
      <c r="N49" s="117">
        <f t="shared" si="15"/>
        <v>1064200</v>
      </c>
      <c r="O49" s="69">
        <v>1000</v>
      </c>
      <c r="P49" s="69">
        <v>1064.2</v>
      </c>
      <c r="Q49" s="169">
        <v>250962</v>
      </c>
      <c r="R49" s="168" t="s">
        <v>4689</v>
      </c>
      <c r="S49" s="199">
        <f>S48-10</f>
        <v>21</v>
      </c>
      <c r="T49" s="191" t="s">
        <v>4690</v>
      </c>
      <c r="U49" s="168">
        <v>5315.5</v>
      </c>
      <c r="V49" s="168">
        <f t="shared" si="12"/>
        <v>5460.6641205479455</v>
      </c>
      <c r="W49" s="32">
        <f t="shared" si="13"/>
        <v>5569.8774029589049</v>
      </c>
      <c r="X49" s="32">
        <f t="shared" si="14"/>
        <v>5679.0906853698634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0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19" t="s">
        <v>4400</v>
      </c>
      <c r="N50" s="113">
        <f t="shared" si="15"/>
        <v>105858700</v>
      </c>
      <c r="O50" s="69">
        <v>21100</v>
      </c>
      <c r="P50" s="69">
        <v>5017</v>
      </c>
      <c r="Q50" s="169">
        <v>352231</v>
      </c>
      <c r="R50" s="219" t="s">
        <v>4747</v>
      </c>
      <c r="S50" s="199">
        <f>S49-7</f>
        <v>14</v>
      </c>
      <c r="T50" s="191" t="s">
        <v>4749</v>
      </c>
      <c r="U50" s="219">
        <v>502.3</v>
      </c>
      <c r="V50" s="219">
        <f t="shared" si="12"/>
        <v>513.3203243835618</v>
      </c>
      <c r="W50" s="32">
        <f t="shared" si="13"/>
        <v>523.58673087123304</v>
      </c>
      <c r="X50" s="32">
        <f t="shared" si="14"/>
        <v>533.85313735890429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216</v>
      </c>
      <c r="AM50" s="113">
        <f t="shared" si="10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4790</v>
      </c>
      <c r="N51" s="113">
        <f>O51*P51</f>
        <v>150769.5</v>
      </c>
      <c r="O51" s="99">
        <v>173</v>
      </c>
      <c r="P51" s="99">
        <v>871.5</v>
      </c>
      <c r="Q51" s="169">
        <v>144241</v>
      </c>
      <c r="R51" s="219" t="s">
        <v>4776</v>
      </c>
      <c r="S51" s="199">
        <f>S50-11</f>
        <v>3</v>
      </c>
      <c r="T51" s="191" t="s">
        <v>4791</v>
      </c>
      <c r="U51" s="219">
        <v>830</v>
      </c>
      <c r="V51" s="219">
        <f t="shared" si="12"/>
        <v>841.20613698630143</v>
      </c>
      <c r="W51" s="32">
        <f t="shared" si="13"/>
        <v>858.03025972602745</v>
      </c>
      <c r="X51" s="32">
        <f t="shared" si="14"/>
        <v>874.85438246575347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214</v>
      </c>
      <c r="AM51" s="113">
        <f t="shared" si="10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 t="s">
        <v>25</v>
      </c>
      <c r="L52" s="117"/>
      <c r="M52" s="21" t="s">
        <v>4786</v>
      </c>
      <c r="N52" s="117">
        <f>O52*P52</f>
        <v>960214.8</v>
      </c>
      <c r="O52" s="69">
        <v>2388</v>
      </c>
      <c r="P52" s="69">
        <v>402.1</v>
      </c>
      <c r="Q52" s="169">
        <v>154960</v>
      </c>
      <c r="R52" s="219" t="s">
        <v>4794</v>
      </c>
      <c r="S52" s="199">
        <f>S51-3</f>
        <v>0</v>
      </c>
      <c r="T52" s="191" t="s">
        <v>4807</v>
      </c>
      <c r="U52" s="219">
        <v>1695</v>
      </c>
      <c r="V52" s="219">
        <f t="shared" si="12"/>
        <v>1713.9840000000002</v>
      </c>
      <c r="W52" s="32">
        <f t="shared" si="13"/>
        <v>1748.2636800000002</v>
      </c>
      <c r="X52" s="32">
        <f t="shared" si="14"/>
        <v>1782.5433600000001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200</v>
      </c>
      <c r="AM52" s="113">
        <f t="shared" si="10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9" t="s">
        <v>4415</v>
      </c>
      <c r="N53" s="117">
        <f t="shared" si="15"/>
        <v>59252607.5</v>
      </c>
      <c r="O53" s="69">
        <v>121295</v>
      </c>
      <c r="P53" s="69">
        <v>488.5</v>
      </c>
      <c r="Q53" s="169"/>
      <c r="R53" s="168"/>
      <c r="S53" s="113"/>
      <c r="T53" s="113"/>
      <c r="U53" s="168"/>
      <c r="V53" s="168">
        <f>U53*(1+$N$92+$Q$15*S53/36500)</f>
        <v>0</v>
      </c>
      <c r="W53" s="32">
        <f t="shared" si="13"/>
        <v>0</v>
      </c>
      <c r="X53" s="32">
        <f t="shared" si="14"/>
        <v>0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199</v>
      </c>
      <c r="AM53" s="113">
        <f t="shared" si="10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19" t="s">
        <v>4550</v>
      </c>
      <c r="N54" s="117">
        <f t="shared" si="15"/>
        <v>2717104.6</v>
      </c>
      <c r="O54" s="69">
        <v>698</v>
      </c>
      <c r="P54" s="69">
        <v>3892.7</v>
      </c>
      <c r="Q54" s="113">
        <f>SUM(N29:N33)-SUM(Q43:Q53)</f>
        <v>-93419.5</v>
      </c>
      <c r="R54" s="168"/>
      <c r="S54" s="168"/>
      <c r="T54" s="168"/>
      <c r="U54" s="168"/>
      <c r="V54" s="168"/>
      <c r="W54" s="32"/>
      <c r="X54" s="32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195</v>
      </c>
      <c r="AM54" s="113">
        <f t="shared" si="10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 t="s">
        <v>25</v>
      </c>
      <c r="L55" s="117"/>
      <c r="M55" s="21" t="s">
        <v>4549</v>
      </c>
      <c r="N55" s="117">
        <f t="shared" si="15"/>
        <v>13299903</v>
      </c>
      <c r="O55" s="69">
        <v>2865</v>
      </c>
      <c r="P55" s="69">
        <v>4642.2</v>
      </c>
      <c r="R55" s="115"/>
      <c r="S55" s="115"/>
      <c r="T55" s="115" t="s">
        <v>25</v>
      </c>
      <c r="U55" s="115"/>
      <c r="V55" s="115"/>
      <c r="W55" s="196"/>
      <c r="X55" s="196"/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193</v>
      </c>
      <c r="AM55" s="170">
        <f t="shared" si="10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 t="s">
        <v>25</v>
      </c>
      <c r="L56" s="117"/>
      <c r="M56" s="21" t="s">
        <v>4634</v>
      </c>
      <c r="N56" s="117">
        <f t="shared" si="15"/>
        <v>3482790</v>
      </c>
      <c r="O56" s="69">
        <v>5100</v>
      </c>
      <c r="P56" s="69">
        <v>682.9</v>
      </c>
      <c r="Q56" t="s">
        <v>25</v>
      </c>
      <c r="S56" s="26" t="s">
        <v>25</v>
      </c>
      <c r="T56" t="s">
        <v>25</v>
      </c>
      <c r="U56" s="96" t="s">
        <v>25</v>
      </c>
      <c r="V56" s="115" t="s">
        <v>25</v>
      </c>
      <c r="W56" s="196"/>
      <c r="X56" s="196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191</v>
      </c>
      <c r="AM56" s="113">
        <f t="shared" si="10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9" t="s">
        <v>4296</v>
      </c>
      <c r="N57" s="113">
        <f t="shared" si="15"/>
        <v>433500</v>
      </c>
      <c r="O57" s="69">
        <v>1500</v>
      </c>
      <c r="P57" s="69">
        <v>289</v>
      </c>
      <c r="Q57" t="s">
        <v>25</v>
      </c>
      <c r="T57" t="s">
        <v>25</v>
      </c>
      <c r="W57" s="196"/>
      <c r="X57" s="196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191</v>
      </c>
      <c r="AM57" s="113">
        <f t="shared" si="10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19" t="s">
        <v>4605</v>
      </c>
      <c r="N58" s="113">
        <f t="shared" si="15"/>
        <v>201933.2</v>
      </c>
      <c r="O58" s="69">
        <v>1148</v>
      </c>
      <c r="P58" s="69">
        <v>175.9</v>
      </c>
      <c r="T58" t="s">
        <v>25</v>
      </c>
      <c r="U58" s="96" t="s">
        <v>25</v>
      </c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190</v>
      </c>
      <c r="AM58" s="113">
        <f t="shared" si="10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4653</v>
      </c>
      <c r="N59" s="117">
        <f t="shared" si="15"/>
        <v>1091200</v>
      </c>
      <c r="O59" s="69">
        <v>5500</v>
      </c>
      <c r="P59" s="69">
        <v>198.4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175</v>
      </c>
      <c r="AM59" s="172">
        <f t="shared" si="10"/>
        <v>-676375000</v>
      </c>
      <c r="AN59" s="171" t="s">
        <v>4063</v>
      </c>
    </row>
    <row r="60" spans="1:40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56"/>
      <c r="L60" s="117"/>
      <c r="M60" s="19" t="s">
        <v>4179</v>
      </c>
      <c r="N60" s="113">
        <f t="shared" si="15"/>
        <v>214110758.40000001</v>
      </c>
      <c r="O60" s="99">
        <v>1263936</v>
      </c>
      <c r="P60" s="99">
        <v>169.4</v>
      </c>
      <c r="Q60" s="73" t="s">
        <v>4295</v>
      </c>
      <c r="R60" s="112"/>
      <c r="S60" s="112"/>
      <c r="T60" s="112"/>
      <c r="U60" s="168" t="s">
        <v>4368</v>
      </c>
      <c r="V60" s="36" t="s">
        <v>4370</v>
      </c>
      <c r="W60" s="32"/>
      <c r="X60" s="32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169</v>
      </c>
      <c r="AM60" s="113">
        <f t="shared" si="10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21" t="s">
        <v>1086</v>
      </c>
      <c r="N61" s="117">
        <f t="shared" si="15"/>
        <v>13500000</v>
      </c>
      <c r="O61" s="69">
        <v>30</v>
      </c>
      <c r="P61" s="69">
        <v>450000</v>
      </c>
      <c r="Q61" s="112" t="s">
        <v>267</v>
      </c>
      <c r="R61" s="112" t="s">
        <v>180</v>
      </c>
      <c r="S61" s="112" t="s">
        <v>183</v>
      </c>
      <c r="T61" s="112" t="s">
        <v>8</v>
      </c>
      <c r="U61" s="168"/>
      <c r="V61" s="99"/>
      <c r="W61" s="32">
        <v>2</v>
      </c>
      <c r="X61" s="32">
        <v>4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166</v>
      </c>
      <c r="AM61" s="113">
        <f t="shared" si="10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73"/>
      <c r="N62" s="117"/>
      <c r="O62" s="122"/>
      <c r="P62" s="122"/>
      <c r="Q62" s="35">
        <v>184971545</v>
      </c>
      <c r="R62" s="5" t="s">
        <v>4172</v>
      </c>
      <c r="S62" s="5">
        <v>146</v>
      </c>
      <c r="T62" s="5" t="s">
        <v>4351</v>
      </c>
      <c r="U62" s="168">
        <v>192</v>
      </c>
      <c r="V62" s="99">
        <f t="shared" ref="V62:V93" si="16">U62*(1+$N$92+$Q$15*S62/36500)</f>
        <v>215.65440000000004</v>
      </c>
      <c r="W62" s="32">
        <f t="shared" ref="W62:W86" si="17">V62*(1+$W$19/100)</f>
        <v>219.96748800000003</v>
      </c>
      <c r="X62" s="32">
        <f t="shared" ref="X62:X86" si="18">V62*(1+$X$19/100)</f>
        <v>224.28057600000005</v>
      </c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0"/>
        <v>33000000</v>
      </c>
      <c r="AN62" s="20"/>
    </row>
    <row r="63" spans="1:40">
      <c r="E63" s="26"/>
      <c r="K63" s="99"/>
      <c r="L63" s="117"/>
      <c r="M63" s="168" t="s">
        <v>1152</v>
      </c>
      <c r="N63" s="117">
        <v>14908</v>
      </c>
      <c r="O63" s="96" t="s">
        <v>25</v>
      </c>
      <c r="P63" t="s">
        <v>25</v>
      </c>
      <c r="Q63" s="35">
        <v>9560464</v>
      </c>
      <c r="R63" s="5" t="s">
        <v>4299</v>
      </c>
      <c r="S63" s="5">
        <f>S62-31</f>
        <v>115</v>
      </c>
      <c r="T63" s="5" t="s">
        <v>4315</v>
      </c>
      <c r="U63" s="168">
        <v>214.57</v>
      </c>
      <c r="V63" s="99">
        <f t="shared" si="16"/>
        <v>235.9023730410959</v>
      </c>
      <c r="W63" s="32">
        <f t="shared" si="17"/>
        <v>240.62042050191783</v>
      </c>
      <c r="X63" s="32">
        <f t="shared" si="18"/>
        <v>245.33846796273974</v>
      </c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162</v>
      </c>
      <c r="AM63" s="113">
        <f t="shared" si="10"/>
        <v>162000000</v>
      </c>
      <c r="AN63" s="20"/>
    </row>
    <row r="64" spans="1:40">
      <c r="E64" s="26"/>
      <c r="K64" s="99"/>
      <c r="L64" s="99"/>
      <c r="M64" s="168" t="s">
        <v>1153</v>
      </c>
      <c r="N64" s="117">
        <v>5282</v>
      </c>
      <c r="O64" s="96"/>
      <c r="P64" t="s">
        <v>25</v>
      </c>
      <c r="Q64" s="35">
        <v>2000000</v>
      </c>
      <c r="R64" s="5" t="s">
        <v>4346</v>
      </c>
      <c r="S64" s="5">
        <f>S63-11</f>
        <v>104</v>
      </c>
      <c r="T64" s="5" t="s">
        <v>4350</v>
      </c>
      <c r="U64" s="168">
        <v>206.8</v>
      </c>
      <c r="V64" s="99">
        <f t="shared" si="16"/>
        <v>225.61483397260278</v>
      </c>
      <c r="W64" s="32">
        <f t="shared" si="17"/>
        <v>230.12713065205483</v>
      </c>
      <c r="X64" s="32">
        <f t="shared" si="18"/>
        <v>234.63942733150691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0"/>
        <v>206700000</v>
      </c>
      <c r="AN64" s="20"/>
    </row>
    <row r="65" spans="1:40">
      <c r="K65" s="168"/>
      <c r="L65" s="117"/>
      <c r="M65" s="168"/>
      <c r="N65" s="113"/>
      <c r="O65" s="115"/>
      <c r="P65" s="115"/>
      <c r="Q65" s="35">
        <v>1429825</v>
      </c>
      <c r="R65" s="5" t="s">
        <v>4377</v>
      </c>
      <c r="S65" s="5">
        <f>S64-7</f>
        <v>97</v>
      </c>
      <c r="T65" s="5" t="s">
        <v>4386</v>
      </c>
      <c r="U65" s="168">
        <v>203.9</v>
      </c>
      <c r="V65" s="99">
        <f t="shared" si="16"/>
        <v>221.35607452054796</v>
      </c>
      <c r="W65" s="32">
        <f t="shared" si="17"/>
        <v>225.78319601095893</v>
      </c>
      <c r="X65" s="32">
        <f t="shared" si="18"/>
        <v>230.2103175013699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159</v>
      </c>
      <c r="AM65" s="113">
        <f t="shared" si="10"/>
        <v>158205000</v>
      </c>
      <c r="AN65" s="20"/>
    </row>
    <row r="66" spans="1:40">
      <c r="K66" s="168" t="s">
        <v>25</v>
      </c>
      <c r="L66" s="117"/>
      <c r="M66" s="168" t="s">
        <v>4180</v>
      </c>
      <c r="N66" s="113">
        <f>-O66*P66</f>
        <v>-14021746.200000001</v>
      </c>
      <c r="O66" s="99">
        <v>82773</v>
      </c>
      <c r="P66" s="99">
        <f>P60</f>
        <v>169.4</v>
      </c>
      <c r="Q66" s="35">
        <v>1420747</v>
      </c>
      <c r="R66" s="5" t="s">
        <v>4377</v>
      </c>
      <c r="S66" s="5">
        <f>S65</f>
        <v>97</v>
      </c>
      <c r="T66" s="5" t="s">
        <v>4388</v>
      </c>
      <c r="U66" s="168">
        <v>203.1</v>
      </c>
      <c r="V66" s="99">
        <f t="shared" si="16"/>
        <v>220.48758575342467</v>
      </c>
      <c r="W66" s="32">
        <f t="shared" si="17"/>
        <v>224.89733746849316</v>
      </c>
      <c r="X66" s="32">
        <f t="shared" si="18"/>
        <v>229.30708918356166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157</v>
      </c>
      <c r="AM66" s="113">
        <f t="shared" si="10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/>
      <c r="N67" s="113"/>
      <c r="Q67" s="35">
        <v>2412371</v>
      </c>
      <c r="R67" s="5" t="s">
        <v>4379</v>
      </c>
      <c r="S67" s="5">
        <f>S66-1</f>
        <v>96</v>
      </c>
      <c r="T67" s="5" t="s">
        <v>4395</v>
      </c>
      <c r="U67" s="168">
        <v>3930</v>
      </c>
      <c r="V67" s="99">
        <f t="shared" si="16"/>
        <v>4263.436273972603</v>
      </c>
      <c r="W67" s="32">
        <f t="shared" si="17"/>
        <v>4348.7049994520548</v>
      </c>
      <c r="X67" s="32">
        <f t="shared" si="18"/>
        <v>4433.9737249315076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155</v>
      </c>
      <c r="AM67" s="113">
        <f t="shared" si="10"/>
        <v>-480500000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Q68" s="35">
        <v>2010885</v>
      </c>
      <c r="R68" s="5" t="s">
        <v>4398</v>
      </c>
      <c r="S68" s="5">
        <f>S67-2</f>
        <v>94</v>
      </c>
      <c r="T68" s="5" t="s">
        <v>4404</v>
      </c>
      <c r="U68" s="168">
        <v>202.1</v>
      </c>
      <c r="V68" s="99">
        <f t="shared" si="16"/>
        <v>218.93686794520548</v>
      </c>
      <c r="W68" s="32">
        <f t="shared" si="17"/>
        <v>223.3156053041096</v>
      </c>
      <c r="X68" s="32">
        <f t="shared" si="18"/>
        <v>227.69434266301371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152</v>
      </c>
      <c r="AM68" s="113">
        <f t="shared" si="10"/>
        <v>6937280000</v>
      </c>
      <c r="AN68" s="20"/>
    </row>
    <row r="69" spans="1:40">
      <c r="F69" t="s">
        <v>4104</v>
      </c>
      <c r="G69" t="s">
        <v>4100</v>
      </c>
      <c r="K69" s="168"/>
      <c r="L69" s="117"/>
      <c r="M69" s="168" t="s">
        <v>4452</v>
      </c>
      <c r="N69" s="113">
        <f>-S136</f>
        <v>-13865925.786366448</v>
      </c>
      <c r="Q69" s="35">
        <v>1994038</v>
      </c>
      <c r="R69" s="5" t="s">
        <v>4409</v>
      </c>
      <c r="S69" s="5">
        <f>S68-3</f>
        <v>91</v>
      </c>
      <c r="T69" s="5" t="s">
        <v>4426</v>
      </c>
      <c r="U69" s="168">
        <v>5560.3</v>
      </c>
      <c r="V69" s="99">
        <f t="shared" si="16"/>
        <v>6010.7300010958916</v>
      </c>
      <c r="W69" s="32">
        <f t="shared" si="17"/>
        <v>6130.9446011178097</v>
      </c>
      <c r="X69" s="32">
        <f t="shared" si="18"/>
        <v>6251.1592011397279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151</v>
      </c>
      <c r="AM69" s="113">
        <f t="shared" si="10"/>
        <v>5058500000</v>
      </c>
      <c r="AN69" s="20"/>
    </row>
    <row r="70" spans="1:40">
      <c r="G70" t="s">
        <v>4101</v>
      </c>
      <c r="K70" s="168"/>
      <c r="L70" s="117"/>
      <c r="M70" s="168" t="s">
        <v>4774</v>
      </c>
      <c r="N70" s="113">
        <f>50*P61</f>
        <v>22500000</v>
      </c>
      <c r="P70" t="s">
        <v>25</v>
      </c>
      <c r="Q70" s="35">
        <v>444</v>
      </c>
      <c r="R70" s="5" t="s">
        <v>4409</v>
      </c>
      <c r="S70" s="5">
        <f>S69</f>
        <v>91</v>
      </c>
      <c r="T70" s="5" t="s">
        <v>4631</v>
      </c>
      <c r="U70" s="168">
        <v>441.8</v>
      </c>
      <c r="V70" s="99">
        <f t="shared" si="16"/>
        <v>477.58943123287679</v>
      </c>
      <c r="W70" s="32">
        <f t="shared" si="17"/>
        <v>487.14121985753434</v>
      </c>
      <c r="X70" s="32">
        <f t="shared" si="18"/>
        <v>496.69300848219189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150</v>
      </c>
      <c r="AM70" s="117">
        <f t="shared" si="10"/>
        <v>1800000000</v>
      </c>
      <c r="AN70" s="20"/>
    </row>
    <row r="71" spans="1:40">
      <c r="G71" t="s">
        <v>4102</v>
      </c>
      <c r="K71" s="168"/>
      <c r="L71" s="117"/>
      <c r="M71" s="168"/>
      <c r="N71" s="113"/>
      <c r="Q71" s="35">
        <v>1971103</v>
      </c>
      <c r="R71" s="5" t="s">
        <v>4421</v>
      </c>
      <c r="S71" s="5">
        <f>S70-1</f>
        <v>90</v>
      </c>
      <c r="T71" s="5" t="s">
        <v>4422</v>
      </c>
      <c r="U71" s="168">
        <v>196.2</v>
      </c>
      <c r="V71" s="99">
        <f t="shared" si="16"/>
        <v>211.94330301369865</v>
      </c>
      <c r="W71" s="32">
        <f t="shared" si="17"/>
        <v>216.18216907397263</v>
      </c>
      <c r="X71" s="32">
        <f t="shared" si="18"/>
        <v>220.42103513424661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149</v>
      </c>
      <c r="AM71" s="117">
        <f t="shared" si="10"/>
        <v>2309500000</v>
      </c>
      <c r="AN71" s="20"/>
    </row>
    <row r="72" spans="1:40">
      <c r="G72" t="s">
        <v>4106</v>
      </c>
      <c r="K72" s="168" t="s">
        <v>598</v>
      </c>
      <c r="L72" s="113">
        <f>SUM(L16:L57)</f>
        <v>301678833.14068538</v>
      </c>
      <c r="M72" s="168"/>
      <c r="N72" s="113">
        <f>SUM(N16:N71)</f>
        <v>377646347.87294817</v>
      </c>
      <c r="Q72" s="35">
        <v>1049856</v>
      </c>
      <c r="R72" s="5" t="s">
        <v>4444</v>
      </c>
      <c r="S72" s="5">
        <f>S71-6</f>
        <v>84</v>
      </c>
      <c r="T72" s="5" t="s">
        <v>4483</v>
      </c>
      <c r="U72" s="168">
        <v>184.5</v>
      </c>
      <c r="V72" s="99">
        <f t="shared" si="16"/>
        <v>198.45527671232878</v>
      </c>
      <c r="W72" s="32">
        <f t="shared" si="17"/>
        <v>202.42438224657536</v>
      </c>
      <c r="X72" s="32">
        <f t="shared" si="18"/>
        <v>206.39348778082194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145</v>
      </c>
      <c r="AM72" s="117">
        <f t="shared" si="10"/>
        <v>21750000</v>
      </c>
      <c r="AN72" s="20"/>
    </row>
    <row r="73" spans="1:40">
      <c r="G73" t="s">
        <v>4105</v>
      </c>
      <c r="K73" s="168" t="s">
        <v>599</v>
      </c>
      <c r="L73" s="113">
        <f>L16+L17+L26</f>
        <v>679640</v>
      </c>
      <c r="M73" s="168"/>
      <c r="N73" s="113">
        <f>N16+N17+N37</f>
        <v>837719</v>
      </c>
      <c r="Q73" s="35">
        <v>1783234</v>
      </c>
      <c r="R73" s="5" t="s">
        <v>4446</v>
      </c>
      <c r="S73" s="5">
        <f>S72-2</f>
        <v>82</v>
      </c>
      <c r="T73" s="5" t="s">
        <v>4447</v>
      </c>
      <c r="U73" s="168">
        <v>177.5</v>
      </c>
      <c r="V73" s="99">
        <f t="shared" si="16"/>
        <v>190.6534794520548</v>
      </c>
      <c r="W73" s="32">
        <f t="shared" si="17"/>
        <v>194.4665490410959</v>
      </c>
      <c r="X73" s="32">
        <f t="shared" si="18"/>
        <v>198.27961863013701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144</v>
      </c>
      <c r="AM73" s="181">
        <f t="shared" si="10"/>
        <v>4176000000</v>
      </c>
      <c r="AN73" s="180" t="s">
        <v>4186</v>
      </c>
    </row>
    <row r="74" spans="1:40">
      <c r="K74" s="56" t="s">
        <v>716</v>
      </c>
      <c r="L74" s="1">
        <f>L72+N7</f>
        <v>371678833.14068538</v>
      </c>
      <c r="M74" s="113"/>
      <c r="N74" s="168"/>
      <c r="O74" s="115"/>
      <c r="P74" s="115"/>
      <c r="Q74" s="35">
        <v>1662335</v>
      </c>
      <c r="R74" s="5" t="s">
        <v>4450</v>
      </c>
      <c r="S74" s="5">
        <f>S73-5</f>
        <v>77</v>
      </c>
      <c r="T74" s="225" t="s">
        <v>4612</v>
      </c>
      <c r="U74" s="168">
        <v>190.3</v>
      </c>
      <c r="V74" s="99">
        <f t="shared" si="16"/>
        <v>203.67209424657537</v>
      </c>
      <c r="W74" s="32">
        <f t="shared" si="17"/>
        <v>207.74553613150687</v>
      </c>
      <c r="X74" s="32">
        <f t="shared" si="18"/>
        <v>211.81897801643839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129</v>
      </c>
      <c r="AM74" s="117">
        <f t="shared" si="10"/>
        <v>-16770000</v>
      </c>
      <c r="AN74" s="20" t="s">
        <v>4212</v>
      </c>
    </row>
    <row r="75" spans="1:40">
      <c r="O75" s="96"/>
      <c r="P75" s="96"/>
      <c r="Q75" s="169">
        <v>159753</v>
      </c>
      <c r="R75" s="168" t="s">
        <v>4576</v>
      </c>
      <c r="S75" s="168">
        <f>S74-25</f>
        <v>52</v>
      </c>
      <c r="T75" s="73" t="s">
        <v>4591</v>
      </c>
      <c r="U75" s="168">
        <v>286</v>
      </c>
      <c r="V75" s="99">
        <f t="shared" si="16"/>
        <v>300.61185753424655</v>
      </c>
      <c r="W75" s="32">
        <f t="shared" si="17"/>
        <v>306.62409468493149</v>
      </c>
      <c r="X75" s="32">
        <f t="shared" si="18"/>
        <v>312.63633183561643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25"/>
      <c r="O76" t="s">
        <v>25</v>
      </c>
      <c r="Q76" s="169">
        <v>172133</v>
      </c>
      <c r="R76" s="168" t="s">
        <v>4577</v>
      </c>
      <c r="S76" s="168">
        <f>S75-3</f>
        <v>49</v>
      </c>
      <c r="T76" s="73" t="s">
        <v>4592</v>
      </c>
      <c r="U76" s="168">
        <v>287</v>
      </c>
      <c r="V76" s="99">
        <f t="shared" si="16"/>
        <v>301.00245479452053</v>
      </c>
      <c r="W76" s="32">
        <f t="shared" si="17"/>
        <v>307.02250389041097</v>
      </c>
      <c r="X76" s="32">
        <f t="shared" si="18"/>
        <v>313.04255298630136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120</v>
      </c>
      <c r="AM76" s="117">
        <f t="shared" si="10"/>
        <v>-20400000</v>
      </c>
      <c r="AN76" s="20"/>
    </row>
    <row r="77" spans="1:40">
      <c r="D77" s="1" t="s">
        <v>305</v>
      </c>
      <c r="E77" s="1">
        <v>70000</v>
      </c>
      <c r="M77" s="25" t="s">
        <v>4080</v>
      </c>
      <c r="O77" s="115"/>
      <c r="P77" s="115"/>
      <c r="Q77" s="169">
        <v>499973</v>
      </c>
      <c r="R77" s="168" t="s">
        <v>4602</v>
      </c>
      <c r="S77" s="168">
        <f>S76-9</f>
        <v>40</v>
      </c>
      <c r="T77" s="73" t="s">
        <v>4603</v>
      </c>
      <c r="U77" s="168">
        <v>413</v>
      </c>
      <c r="V77" s="99">
        <f t="shared" si="16"/>
        <v>430.29847671232881</v>
      </c>
      <c r="W77" s="32">
        <f t="shared" si="17"/>
        <v>438.90444624657539</v>
      </c>
      <c r="X77" s="32">
        <f t="shared" si="18"/>
        <v>447.51041578082197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117</v>
      </c>
      <c r="AM77" s="117">
        <f t="shared" si="10"/>
        <v>-35100000</v>
      </c>
      <c r="AN77" s="20"/>
    </row>
    <row r="78" spans="1:40">
      <c r="D78" s="1" t="s">
        <v>321</v>
      </c>
      <c r="E78" s="1">
        <v>100000</v>
      </c>
      <c r="M78" s="177"/>
      <c r="O78" s="115"/>
      <c r="P78" s="115"/>
      <c r="Q78" s="169">
        <v>11869317</v>
      </c>
      <c r="R78" s="168" t="s">
        <v>4613</v>
      </c>
      <c r="S78" s="168">
        <f>S77-2</f>
        <v>38</v>
      </c>
      <c r="T78" s="168" t="s">
        <v>4614</v>
      </c>
      <c r="U78" s="168">
        <v>395600</v>
      </c>
      <c r="V78" s="99">
        <f t="shared" si="16"/>
        <v>411562.73095890414</v>
      </c>
      <c r="W78" s="32">
        <f t="shared" si="17"/>
        <v>419793.98557808221</v>
      </c>
      <c r="X78" s="32">
        <f t="shared" si="18"/>
        <v>428025.24019726034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0"/>
        <v>-1299600000</v>
      </c>
      <c r="AN78" s="20"/>
    </row>
    <row r="79" spans="1:40">
      <c r="D79" s="1" t="s">
        <v>306</v>
      </c>
      <c r="E79" s="1">
        <v>80000</v>
      </c>
      <c r="M79" s="96" t="s">
        <v>4812</v>
      </c>
      <c r="Q79" s="35">
        <v>2272487</v>
      </c>
      <c r="R79" s="5" t="s">
        <v>4623</v>
      </c>
      <c r="S79" s="5">
        <f>S78-3</f>
        <v>35</v>
      </c>
      <c r="T79" s="5" t="s">
        <v>4624</v>
      </c>
      <c r="U79" s="168">
        <v>174.9</v>
      </c>
      <c r="V79" s="99">
        <f t="shared" si="16"/>
        <v>181.55482520547949</v>
      </c>
      <c r="W79" s="32">
        <f t="shared" si="17"/>
        <v>185.18592170958908</v>
      </c>
      <c r="X79" s="32">
        <f t="shared" si="18"/>
        <v>188.81701821369867</v>
      </c>
      <c r="Y79" t="s">
        <v>25</v>
      </c>
      <c r="AC79" s="115"/>
      <c r="AD79" s="115"/>
      <c r="AE79" s="115"/>
      <c r="AF79"/>
      <c r="AH79" s="20">
        <v>59</v>
      </c>
      <c r="AI79" s="117" t="s">
        <v>4352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4416</v>
      </c>
      <c r="O80" s="114"/>
      <c r="Q80" s="35">
        <v>3975257</v>
      </c>
      <c r="R80" s="5" t="s">
        <v>4629</v>
      </c>
      <c r="S80" s="5">
        <f>S79-1</f>
        <v>34</v>
      </c>
      <c r="T80" s="5" t="s">
        <v>4630</v>
      </c>
      <c r="U80" s="168">
        <v>173</v>
      </c>
      <c r="V80" s="99">
        <f t="shared" si="16"/>
        <v>179.44981917808218</v>
      </c>
      <c r="W80" s="32">
        <f t="shared" si="17"/>
        <v>183.03881556164382</v>
      </c>
      <c r="X80" s="32">
        <f t="shared" si="18"/>
        <v>186.62781194520548</v>
      </c>
      <c r="AC80" s="115"/>
      <c r="AD80" s="115"/>
      <c r="AE80" s="115"/>
      <c r="AF80"/>
      <c r="AH80" s="20">
        <v>60</v>
      </c>
      <c r="AI80" s="117" t="s">
        <v>4353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s="122" t="s">
        <v>4517</v>
      </c>
      <c r="N81" s="96"/>
      <c r="Q81" s="35">
        <v>1031662</v>
      </c>
      <c r="R81" s="5" t="s">
        <v>4234</v>
      </c>
      <c r="S81" s="5">
        <f>S80-1</f>
        <v>33</v>
      </c>
      <c r="T81" s="5" t="s">
        <v>4633</v>
      </c>
      <c r="U81" s="168">
        <v>171.2</v>
      </c>
      <c r="V81" s="99">
        <f t="shared" si="16"/>
        <v>177.4513797260274</v>
      </c>
      <c r="W81" s="32">
        <f t="shared" si="17"/>
        <v>181.00040732054794</v>
      </c>
      <c r="X81" s="32">
        <f t="shared" si="18"/>
        <v>184.5494349150685</v>
      </c>
      <c r="Y81">
        <v>23000</v>
      </c>
      <c r="AD81" s="115"/>
      <c r="AE81" s="115"/>
      <c r="AF81" s="115"/>
      <c r="AH81" s="20">
        <v>61</v>
      </c>
      <c r="AI81" s="117" t="s">
        <v>4377</v>
      </c>
      <c r="AJ81" s="117">
        <v>-456081</v>
      </c>
      <c r="AK81" s="20">
        <v>1</v>
      </c>
      <c r="AL81" s="99">
        <f t="shared" si="19"/>
        <v>95</v>
      </c>
      <c r="AM81" s="117">
        <f t="shared" si="10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s="122" t="s">
        <v>4594</v>
      </c>
      <c r="N82" s="96"/>
      <c r="P82" t="s">
        <v>25</v>
      </c>
      <c r="Q82" s="169">
        <v>2666019</v>
      </c>
      <c r="R82" s="168" t="s">
        <v>4234</v>
      </c>
      <c r="S82" s="168">
        <f>S81</f>
        <v>33</v>
      </c>
      <c r="T82" s="168" t="s">
        <v>4635</v>
      </c>
      <c r="U82" s="168">
        <v>749</v>
      </c>
      <c r="V82" s="99">
        <f t="shared" si="16"/>
        <v>776.34978630136993</v>
      </c>
      <c r="W82" s="32">
        <f t="shared" si="17"/>
        <v>791.87678202739733</v>
      </c>
      <c r="X82" s="32">
        <f t="shared" si="18"/>
        <v>807.40377775342472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4379</v>
      </c>
      <c r="AJ82" s="117">
        <v>-500000</v>
      </c>
      <c r="AK82" s="20">
        <v>2</v>
      </c>
      <c r="AL82" s="99">
        <f>AL83+AK82</f>
        <v>94</v>
      </c>
      <c r="AM82" s="117">
        <f t="shared" si="10"/>
        <v>-47000000</v>
      </c>
      <c r="AN82" s="20"/>
      <c r="AO82" t="s">
        <v>25</v>
      </c>
      <c r="AS82" s="96"/>
      <c r="AU82"/>
      <c r="AW82" t="s">
        <v>25</v>
      </c>
    </row>
    <row r="83" spans="4:52" ht="30">
      <c r="D83" s="31" t="s">
        <v>310</v>
      </c>
      <c r="E83" s="1">
        <v>200000</v>
      </c>
      <c r="G83" s="47">
        <v>700000</v>
      </c>
      <c r="H83" s="203" t="s">
        <v>1039</v>
      </c>
      <c r="K83" s="218" t="s">
        <v>4798</v>
      </c>
      <c r="L83" s="22" t="s">
        <v>4797</v>
      </c>
      <c r="M83" s="211" t="s">
        <v>4762</v>
      </c>
      <c r="N83" s="96"/>
      <c r="P83" s="115"/>
      <c r="Q83" s="35">
        <v>577500</v>
      </c>
      <c r="R83" s="5" t="s">
        <v>4234</v>
      </c>
      <c r="S83" s="5">
        <f>S82</f>
        <v>33</v>
      </c>
      <c r="T83" s="5" t="s">
        <v>4638</v>
      </c>
      <c r="U83" s="168">
        <v>175</v>
      </c>
      <c r="V83" s="99">
        <f t="shared" si="16"/>
        <v>181.3901369863014</v>
      </c>
      <c r="W83" s="32">
        <f t="shared" si="17"/>
        <v>185.01793972602744</v>
      </c>
      <c r="X83" s="32">
        <f t="shared" si="18"/>
        <v>188.64574246575347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4398</v>
      </c>
      <c r="AJ83" s="117">
        <v>-6234370</v>
      </c>
      <c r="AK83" s="20">
        <v>3</v>
      </c>
      <c r="AL83" s="99">
        <f t="shared" si="19"/>
        <v>92</v>
      </c>
      <c r="AM83" s="117">
        <f t="shared" si="10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s="122"/>
      <c r="N84" s="96"/>
      <c r="P84" s="115" t="s">
        <v>25</v>
      </c>
      <c r="Q84" s="35">
        <v>12636487</v>
      </c>
      <c r="R84" s="5" t="s">
        <v>3691</v>
      </c>
      <c r="S84" s="5">
        <f>S83-2</f>
        <v>31</v>
      </c>
      <c r="T84" s="5" t="s">
        <v>4641</v>
      </c>
      <c r="U84" s="168">
        <v>172.1</v>
      </c>
      <c r="V84" s="99">
        <f t="shared" si="16"/>
        <v>178.12019945205481</v>
      </c>
      <c r="W84" s="32">
        <f t="shared" si="17"/>
        <v>181.68260344109589</v>
      </c>
      <c r="X84" s="32">
        <f t="shared" si="18"/>
        <v>185.24500743013701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4409</v>
      </c>
      <c r="AJ84" s="117">
        <v>1950957</v>
      </c>
      <c r="AK84" s="20">
        <v>4</v>
      </c>
      <c r="AL84" s="99">
        <f t="shared" si="19"/>
        <v>89</v>
      </c>
      <c r="AM84" s="117">
        <f t="shared" si="10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L85" s="96"/>
      <c r="M85" s="122" t="s">
        <v>4596</v>
      </c>
      <c r="O85" t="s">
        <v>25</v>
      </c>
      <c r="P85" s="115"/>
      <c r="Q85" s="169">
        <v>1210169</v>
      </c>
      <c r="R85" s="168" t="s">
        <v>4644</v>
      </c>
      <c r="S85" s="168">
        <f>S84-3</f>
        <v>28</v>
      </c>
      <c r="T85" s="168" t="s">
        <v>4645</v>
      </c>
      <c r="U85" s="168">
        <v>1204.7</v>
      </c>
      <c r="V85" s="99">
        <f t="shared" si="16"/>
        <v>1244.068935890411</v>
      </c>
      <c r="W85" s="32">
        <f t="shared" si="17"/>
        <v>1268.9503146082193</v>
      </c>
      <c r="X85" s="32">
        <f t="shared" si="18"/>
        <v>1293.8316933260276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4436</v>
      </c>
      <c r="AJ85" s="117">
        <v>600000</v>
      </c>
      <c r="AK85" s="20">
        <v>5</v>
      </c>
      <c r="AL85" s="99">
        <f t="shared" si="19"/>
        <v>85</v>
      </c>
      <c r="AM85" s="117">
        <f t="shared" si="10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s="96">
        <f>O60+O21+O33-O66</f>
        <v>1271705</v>
      </c>
      <c r="N86" s="113">
        <f>M86*P60</f>
        <v>215426827</v>
      </c>
      <c r="P86" s="115"/>
      <c r="Q86" s="35">
        <v>12131182</v>
      </c>
      <c r="R86" s="5" t="s">
        <v>4644</v>
      </c>
      <c r="S86" s="5">
        <f>S85</f>
        <v>28</v>
      </c>
      <c r="T86" s="5" t="s">
        <v>4646</v>
      </c>
      <c r="U86" s="168">
        <v>171.8</v>
      </c>
      <c r="V86" s="99">
        <f t="shared" si="16"/>
        <v>177.41432986301373</v>
      </c>
      <c r="W86" s="32">
        <f t="shared" si="17"/>
        <v>180.96261646027401</v>
      </c>
      <c r="X86" s="32">
        <f t="shared" si="18"/>
        <v>184.51090305753428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4446</v>
      </c>
      <c r="AJ86" s="117">
        <v>7500000</v>
      </c>
      <c r="AK86" s="20">
        <v>2</v>
      </c>
      <c r="AL86" s="99">
        <f t="shared" si="19"/>
        <v>80</v>
      </c>
      <c r="AM86" s="117">
        <f t="shared" si="10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4267</v>
      </c>
      <c r="P87" s="115"/>
      <c r="Q87" s="35">
        <v>8978273</v>
      </c>
      <c r="R87" s="5" t="s">
        <v>4650</v>
      </c>
      <c r="S87" s="5">
        <f>S86-1</f>
        <v>27</v>
      </c>
      <c r="T87" s="5" t="s">
        <v>4651</v>
      </c>
      <c r="U87" s="168">
        <v>3405.9</v>
      </c>
      <c r="V87" s="99">
        <f t="shared" si="16"/>
        <v>3514.5902005479461</v>
      </c>
      <c r="W87" s="32">
        <f t="shared" ref="W87:W123" si="20">V87*(1+$W$19/100)</f>
        <v>3584.882004558905</v>
      </c>
      <c r="X87" s="32">
        <f t="shared" ref="X87:X123" si="21">V87*(1+$X$19/100)</f>
        <v>3655.1738085698639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4451</v>
      </c>
      <c r="AJ87" s="117">
        <v>-587816</v>
      </c>
      <c r="AK87" s="20">
        <v>3</v>
      </c>
      <c r="AL87" s="99">
        <f t="shared" si="19"/>
        <v>78</v>
      </c>
      <c r="AM87" s="117">
        <f t="shared" si="10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4600</v>
      </c>
      <c r="N88" t="s">
        <v>25</v>
      </c>
      <c r="P88" s="115"/>
      <c r="Q88" s="169">
        <v>1013762</v>
      </c>
      <c r="R88" s="168" t="s">
        <v>4650</v>
      </c>
      <c r="S88" s="168">
        <f>S87</f>
        <v>27</v>
      </c>
      <c r="T88" s="168" t="s">
        <v>4654</v>
      </c>
      <c r="U88" s="168">
        <v>217.1</v>
      </c>
      <c r="V88" s="99">
        <f t="shared" si="16"/>
        <v>224.02816657534251</v>
      </c>
      <c r="W88" s="32">
        <f t="shared" si="20"/>
        <v>228.50872990684937</v>
      </c>
      <c r="X88" s="32">
        <f t="shared" si="21"/>
        <v>232.98929323835623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4450</v>
      </c>
      <c r="AJ88" s="117">
        <v>-907489</v>
      </c>
      <c r="AK88" s="20">
        <v>0</v>
      </c>
      <c r="AL88" s="99">
        <f>AL89+AK88</f>
        <v>75</v>
      </c>
      <c r="AM88" s="117">
        <f t="shared" si="10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P89" s="115"/>
      <c r="Q89" s="169">
        <v>12953846</v>
      </c>
      <c r="R89" s="168" t="s">
        <v>4650</v>
      </c>
      <c r="S89" s="168">
        <f>S88</f>
        <v>27</v>
      </c>
      <c r="T89" s="168" t="s">
        <v>4788</v>
      </c>
      <c r="U89" s="168">
        <v>4500.5</v>
      </c>
      <c r="V89" s="99">
        <f t="shared" si="16"/>
        <v>4644.1214356164392</v>
      </c>
      <c r="W89" s="32">
        <f t="shared" si="20"/>
        <v>4737.003864328768</v>
      </c>
      <c r="X89" s="32">
        <f t="shared" si="21"/>
        <v>4829.8862930410969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4450</v>
      </c>
      <c r="AJ89" s="117">
        <v>2450000</v>
      </c>
      <c r="AK89" s="20">
        <v>1</v>
      </c>
      <c r="AL89" s="99">
        <f t="shared" si="19"/>
        <v>75</v>
      </c>
      <c r="AM89" s="117">
        <f t="shared" si="10"/>
        <v>183750000</v>
      </c>
      <c r="AN89" s="20" t="s">
        <v>4489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949</v>
      </c>
      <c r="N90">
        <v>6.3E-3</v>
      </c>
      <c r="P90" s="115"/>
      <c r="Q90" s="35">
        <v>4068640</v>
      </c>
      <c r="R90" s="5" t="s">
        <v>4658</v>
      </c>
      <c r="S90" s="5">
        <f>S89-1</f>
        <v>26</v>
      </c>
      <c r="T90" s="5" t="s">
        <v>4659</v>
      </c>
      <c r="U90" s="168">
        <v>3322.3</v>
      </c>
      <c r="V90" s="99">
        <f t="shared" si="16"/>
        <v>3425.773716164384</v>
      </c>
      <c r="W90" s="32">
        <f t="shared" si="20"/>
        <v>3494.2891904876719</v>
      </c>
      <c r="X90" s="32">
        <f t="shared" si="21"/>
        <v>3562.8046648109594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4491</v>
      </c>
      <c r="AJ90" s="117">
        <v>1500000</v>
      </c>
      <c r="AK90" s="20">
        <v>1</v>
      </c>
      <c r="AL90" s="99">
        <f t="shared" si="19"/>
        <v>74</v>
      </c>
      <c r="AM90" s="117">
        <f t="shared" si="10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61</v>
      </c>
      <c r="N91">
        <v>4.8999999999999998E-3</v>
      </c>
      <c r="P91" s="115"/>
      <c r="Q91" s="35">
        <v>12656982</v>
      </c>
      <c r="R91" s="5" t="s">
        <v>4658</v>
      </c>
      <c r="S91" s="5">
        <f>S90</f>
        <v>26</v>
      </c>
      <c r="T91" s="5" t="s">
        <v>4660</v>
      </c>
      <c r="U91" s="168">
        <v>5249.9</v>
      </c>
      <c r="V91" s="99">
        <f t="shared" si="16"/>
        <v>5413.4092142465752</v>
      </c>
      <c r="W91" s="32">
        <f t="shared" si="20"/>
        <v>5521.6773985315067</v>
      </c>
      <c r="X91" s="32">
        <f t="shared" si="21"/>
        <v>5629.9455828164382</v>
      </c>
      <c r="Y91" s="115"/>
      <c r="Z91" s="115"/>
      <c r="AA91" s="115"/>
      <c r="AE91"/>
      <c r="AG91" s="96"/>
      <c r="AH91" s="20">
        <v>71</v>
      </c>
      <c r="AI91" s="117" t="s">
        <v>4497</v>
      </c>
      <c r="AJ91" s="117">
        <v>2648000</v>
      </c>
      <c r="AK91" s="20">
        <v>1</v>
      </c>
      <c r="AL91" s="99">
        <f t="shared" si="19"/>
        <v>73</v>
      </c>
      <c r="AM91" s="117">
        <f t="shared" si="10"/>
        <v>193304000</v>
      </c>
      <c r="AN91" s="20" t="s">
        <v>4498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6</v>
      </c>
      <c r="N92">
        <f>N90+N91</f>
        <v>1.12E-2</v>
      </c>
      <c r="O92" t="s">
        <v>25</v>
      </c>
      <c r="P92" t="s">
        <v>25</v>
      </c>
      <c r="Q92" s="169">
        <v>100905</v>
      </c>
      <c r="R92" s="168" t="s">
        <v>4661</v>
      </c>
      <c r="S92" s="168">
        <f>S91-1</f>
        <v>25</v>
      </c>
      <c r="T92" s="168" t="s">
        <v>4667</v>
      </c>
      <c r="U92" s="168">
        <v>372</v>
      </c>
      <c r="V92" s="99">
        <f t="shared" si="16"/>
        <v>383.30064657534251</v>
      </c>
      <c r="W92" s="32">
        <f t="shared" si="20"/>
        <v>390.9666595068494</v>
      </c>
      <c r="X92" s="32">
        <f t="shared" si="21"/>
        <v>398.63267243835622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72</v>
      </c>
      <c r="AM92" s="117">
        <f t="shared" si="10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35">
        <v>48637534</v>
      </c>
      <c r="R93" s="5" t="s">
        <v>4661</v>
      </c>
      <c r="S93" s="5">
        <f>S92</f>
        <v>25</v>
      </c>
      <c r="T93" s="5" t="s">
        <v>4665</v>
      </c>
      <c r="U93" s="168">
        <v>5330</v>
      </c>
      <c r="V93" s="99">
        <f t="shared" si="16"/>
        <v>5491.9151780821921</v>
      </c>
      <c r="W93" s="32">
        <f t="shared" si="20"/>
        <v>5601.7534816438365</v>
      </c>
      <c r="X93" s="32">
        <f t="shared" si="21"/>
        <v>5711.5917852054799</v>
      </c>
      <c r="Y93" s="115"/>
      <c r="Z93" s="115"/>
      <c r="AA93" s="115"/>
      <c r="AE93"/>
      <c r="AG93" s="96"/>
      <c r="AH93" s="20">
        <v>73</v>
      </c>
      <c r="AI93" s="117" t="s">
        <v>4509</v>
      </c>
      <c r="AJ93" s="117">
        <v>14000000</v>
      </c>
      <c r="AK93" s="20">
        <v>2</v>
      </c>
      <c r="AL93" s="99">
        <f>AL94+AK93</f>
        <v>68</v>
      </c>
      <c r="AM93" s="117">
        <f t="shared" si="10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Q94" s="35">
        <v>40048573</v>
      </c>
      <c r="R94" s="5" t="s">
        <v>4661</v>
      </c>
      <c r="S94" s="5">
        <f>S93</f>
        <v>25</v>
      </c>
      <c r="T94" s="5" t="s">
        <v>4666</v>
      </c>
      <c r="U94" s="168">
        <v>498.9</v>
      </c>
      <c r="V94" s="99">
        <f t="shared" ref="V94:V121" si="22">U94*(1+$N$92+$Q$15*S94/36500)</f>
        <v>514.05562520547949</v>
      </c>
      <c r="W94" s="32">
        <f t="shared" si="20"/>
        <v>524.3367377095891</v>
      </c>
      <c r="X94" s="32">
        <f t="shared" si="21"/>
        <v>534.61785021369872</v>
      </c>
      <c r="Y94" s="115"/>
      <c r="AH94" s="20">
        <v>74</v>
      </c>
      <c r="AI94" s="117" t="s">
        <v>4515</v>
      </c>
      <c r="AJ94" s="117">
        <v>1313000</v>
      </c>
      <c r="AK94" s="20">
        <v>0</v>
      </c>
      <c r="AL94" s="99">
        <f>AL95+AK94</f>
        <v>66</v>
      </c>
      <c r="AM94" s="117">
        <f t="shared" si="10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25</v>
      </c>
      <c r="Q95" s="169">
        <v>1000495</v>
      </c>
      <c r="R95" s="168" t="s">
        <v>4677</v>
      </c>
      <c r="S95" s="168">
        <f>S94-1</f>
        <v>24</v>
      </c>
      <c r="T95" s="168" t="s">
        <v>4753</v>
      </c>
      <c r="U95" s="168">
        <v>724.8</v>
      </c>
      <c r="V95" s="99">
        <f t="shared" si="22"/>
        <v>746.26202301369858</v>
      </c>
      <c r="W95" s="32">
        <f t="shared" si="20"/>
        <v>761.18726347397262</v>
      </c>
      <c r="X95" s="32">
        <f t="shared" si="21"/>
        <v>776.11250393424655</v>
      </c>
      <c r="AH95" s="99">
        <v>75</v>
      </c>
      <c r="AI95" s="113" t="s">
        <v>4515</v>
      </c>
      <c r="AJ95" s="113">
        <v>2269000</v>
      </c>
      <c r="AK95" s="99">
        <v>1</v>
      </c>
      <c r="AL95" s="99">
        <f t="shared" ref="AL95:AL120" si="23">AL96+AK95</f>
        <v>66</v>
      </c>
      <c r="AM95" s="117">
        <f t="shared" si="10"/>
        <v>149754000</v>
      </c>
      <c r="AN95" s="99"/>
    </row>
    <row r="96" spans="4:52">
      <c r="D96" s="32" t="s">
        <v>314</v>
      </c>
      <c r="E96" s="1">
        <v>140000</v>
      </c>
      <c r="M96" s="195" t="s">
        <v>4547</v>
      </c>
      <c r="Q96" s="35">
        <v>37856769</v>
      </c>
      <c r="R96" s="5" t="s">
        <v>4677</v>
      </c>
      <c r="S96" s="5">
        <f>S95</f>
        <v>24</v>
      </c>
      <c r="T96" s="5" t="s">
        <v>4679</v>
      </c>
      <c r="U96" s="168">
        <v>5393.6</v>
      </c>
      <c r="V96" s="99">
        <f t="shared" si="22"/>
        <v>5553.3096679452055</v>
      </c>
      <c r="W96" s="32">
        <f t="shared" si="20"/>
        <v>5664.37586130411</v>
      </c>
      <c r="X96" s="32">
        <f t="shared" si="21"/>
        <v>5775.4420546630136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3"/>
        <v>65</v>
      </c>
      <c r="AM96" s="117">
        <f t="shared" si="10"/>
        <v>48750000</v>
      </c>
      <c r="AN96" s="99"/>
    </row>
    <row r="97" spans="4:47">
      <c r="D97" s="2" t="s">
        <v>478</v>
      </c>
      <c r="E97" s="3">
        <v>1083333</v>
      </c>
      <c r="M97" t="s">
        <v>4548</v>
      </c>
      <c r="Q97" s="35">
        <v>155151</v>
      </c>
      <c r="R97" s="5" t="s">
        <v>4689</v>
      </c>
      <c r="S97" s="5">
        <f>S96-3</f>
        <v>21</v>
      </c>
      <c r="T97" s="5" t="s">
        <v>4691</v>
      </c>
      <c r="U97" s="168">
        <v>5325.9</v>
      </c>
      <c r="V97" s="99">
        <f t="shared" si="22"/>
        <v>5471.3481402739726</v>
      </c>
      <c r="W97" s="32">
        <f t="shared" si="20"/>
        <v>5580.7751030794525</v>
      </c>
      <c r="X97" s="32">
        <f t="shared" si="21"/>
        <v>5690.2020658849315</v>
      </c>
      <c r="AH97" s="99">
        <v>77</v>
      </c>
      <c r="AI97" s="113" t="s">
        <v>4523</v>
      </c>
      <c r="AJ97" s="113">
        <v>1900000</v>
      </c>
      <c r="AK97" s="99">
        <v>3</v>
      </c>
      <c r="AL97" s="99">
        <f t="shared" si="23"/>
        <v>61</v>
      </c>
      <c r="AM97" s="117">
        <f t="shared" si="10"/>
        <v>115900000</v>
      </c>
      <c r="AN97" s="99"/>
    </row>
    <row r="98" spans="4:47">
      <c r="D98" s="2"/>
      <c r="E98" s="3"/>
      <c r="H98" s="96"/>
      <c r="M98" t="s">
        <v>4549</v>
      </c>
      <c r="Q98" s="169">
        <v>109726</v>
      </c>
      <c r="R98" s="168" t="s">
        <v>4689</v>
      </c>
      <c r="S98" s="168">
        <f>S97</f>
        <v>21</v>
      </c>
      <c r="T98" s="168" t="s">
        <v>4692</v>
      </c>
      <c r="U98" s="168">
        <v>3900.7</v>
      </c>
      <c r="V98" s="99">
        <f t="shared" si="22"/>
        <v>4007.2265139726028</v>
      </c>
      <c r="W98" s="32">
        <f t="shared" si="20"/>
        <v>4087.3710442520551</v>
      </c>
      <c r="X98" s="32">
        <f t="shared" si="21"/>
        <v>4167.5155745315069</v>
      </c>
      <c r="Y98" t="s">
        <v>25</v>
      </c>
      <c r="AH98" s="99">
        <v>78</v>
      </c>
      <c r="AI98" s="113" t="s">
        <v>4536</v>
      </c>
      <c r="AJ98" s="113">
        <v>6400000</v>
      </c>
      <c r="AK98" s="99">
        <v>1</v>
      </c>
      <c r="AL98" s="99">
        <f t="shared" si="23"/>
        <v>58</v>
      </c>
      <c r="AM98" s="117">
        <f t="shared" si="10"/>
        <v>371200000</v>
      </c>
      <c r="AN98" s="99"/>
    </row>
    <row r="99" spans="4:47">
      <c r="D99" s="2"/>
      <c r="E99" s="3"/>
      <c r="M99" t="s">
        <v>4396</v>
      </c>
      <c r="Q99" s="35">
        <v>8938737</v>
      </c>
      <c r="R99" s="5" t="s">
        <v>4695</v>
      </c>
      <c r="S99" s="5">
        <f>S98-1</f>
        <v>20</v>
      </c>
      <c r="T99" s="5" t="s">
        <v>4697</v>
      </c>
      <c r="U99" s="168">
        <v>5179.5</v>
      </c>
      <c r="V99" s="99">
        <f t="shared" si="22"/>
        <v>5316.9767013698638</v>
      </c>
      <c r="W99" s="32">
        <f t="shared" si="20"/>
        <v>5423.3162353972612</v>
      </c>
      <c r="X99" s="32">
        <f t="shared" si="21"/>
        <v>5529.6557694246585</v>
      </c>
      <c r="AH99" s="99">
        <v>79</v>
      </c>
      <c r="AI99" s="113" t="s">
        <v>4534</v>
      </c>
      <c r="AJ99" s="113">
        <v>5000</v>
      </c>
      <c r="AK99" s="99">
        <v>5</v>
      </c>
      <c r="AL99" s="99">
        <f t="shared" si="23"/>
        <v>57</v>
      </c>
      <c r="AM99" s="117">
        <f t="shared" si="10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4415</v>
      </c>
      <c r="Q100" s="35">
        <v>2595417</v>
      </c>
      <c r="R100" s="5" t="s">
        <v>4705</v>
      </c>
      <c r="S100" s="5">
        <f>S99-1</f>
        <v>19</v>
      </c>
      <c r="T100" s="5" t="s">
        <v>4706</v>
      </c>
      <c r="U100" s="168">
        <v>4803</v>
      </c>
      <c r="V100" s="99">
        <f t="shared" si="22"/>
        <v>4926.7989698630136</v>
      </c>
      <c r="W100" s="32">
        <f t="shared" si="20"/>
        <v>5025.3349492602738</v>
      </c>
      <c r="X100" s="32">
        <f t="shared" si="21"/>
        <v>5123.870928657534</v>
      </c>
      <c r="AH100" s="99">
        <v>80</v>
      </c>
      <c r="AI100" s="113" t="s">
        <v>4568</v>
      </c>
      <c r="AJ100" s="113">
        <v>-1750148</v>
      </c>
      <c r="AK100" s="99">
        <v>1</v>
      </c>
      <c r="AL100" s="99">
        <f t="shared" si="23"/>
        <v>52</v>
      </c>
      <c r="AM100" s="117">
        <f t="shared" si="10"/>
        <v>-91007696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M101" t="s">
        <v>4550</v>
      </c>
      <c r="Q101" s="169">
        <v>2505816</v>
      </c>
      <c r="R101" s="168" t="s">
        <v>4705</v>
      </c>
      <c r="S101" s="168">
        <f>S100</f>
        <v>19</v>
      </c>
      <c r="T101" s="168" t="s">
        <v>4707</v>
      </c>
      <c r="U101" s="168">
        <v>3723</v>
      </c>
      <c r="V101" s="99">
        <f t="shared" si="22"/>
        <v>3818.9616000000001</v>
      </c>
      <c r="W101" s="32">
        <f t="shared" si="20"/>
        <v>3895.3408320000003</v>
      </c>
      <c r="X101" s="32">
        <f t="shared" si="21"/>
        <v>3971.7200640000001</v>
      </c>
      <c r="Y101" t="s">
        <v>25</v>
      </c>
      <c r="AH101" s="99">
        <v>81</v>
      </c>
      <c r="AI101" s="113" t="s">
        <v>4571</v>
      </c>
      <c r="AJ101" s="113">
        <v>400000</v>
      </c>
      <c r="AK101" s="99">
        <v>0</v>
      </c>
      <c r="AL101" s="99">
        <f t="shared" si="23"/>
        <v>51</v>
      </c>
      <c r="AM101" s="117">
        <f t="shared" si="10"/>
        <v>20400000</v>
      </c>
      <c r="AN101" s="99"/>
    </row>
    <row r="102" spans="4:47">
      <c r="F102" s="96"/>
      <c r="G102" s="96"/>
      <c r="H102" s="96"/>
      <c r="I102" s="96"/>
      <c r="J102" s="96"/>
      <c r="M102" t="s">
        <v>4400</v>
      </c>
      <c r="Q102" s="169">
        <v>183283</v>
      </c>
      <c r="R102" s="215" t="s">
        <v>4709</v>
      </c>
      <c r="S102" s="215">
        <f>S101-1</f>
        <v>18</v>
      </c>
      <c r="T102" s="215" t="s">
        <v>4724</v>
      </c>
      <c r="U102" s="215">
        <v>347.5</v>
      </c>
      <c r="V102" s="99">
        <f t="shared" si="22"/>
        <v>356.19035616438362</v>
      </c>
      <c r="W102" s="32">
        <f t="shared" si="20"/>
        <v>363.31416328767131</v>
      </c>
      <c r="X102" s="32">
        <f t="shared" si="21"/>
        <v>370.437970410959</v>
      </c>
      <c r="AH102" s="99">
        <v>82</v>
      </c>
      <c r="AI102" s="113" t="s">
        <v>4571</v>
      </c>
      <c r="AJ102" s="113">
        <v>-2105421</v>
      </c>
      <c r="AK102" s="99">
        <v>1</v>
      </c>
      <c r="AL102" s="99">
        <f t="shared" si="23"/>
        <v>51</v>
      </c>
      <c r="AM102" s="117">
        <f t="shared" si="10"/>
        <v>-107376471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M103" t="s">
        <v>4551</v>
      </c>
      <c r="Q103" s="169">
        <v>177438</v>
      </c>
      <c r="R103" s="215" t="s">
        <v>4709</v>
      </c>
      <c r="S103" s="215">
        <f t="shared" ref="S103:S108" si="24">S102</f>
        <v>18</v>
      </c>
      <c r="T103" s="215" t="s">
        <v>4718</v>
      </c>
      <c r="U103" s="215">
        <v>207.3</v>
      </c>
      <c r="V103" s="99">
        <f t="shared" si="22"/>
        <v>212.48420383561646</v>
      </c>
      <c r="W103" s="32">
        <f t="shared" si="20"/>
        <v>216.73388791232878</v>
      </c>
      <c r="X103" s="32">
        <f t="shared" si="21"/>
        <v>220.98357198904111</v>
      </c>
      <c r="AH103" s="99">
        <v>83</v>
      </c>
      <c r="AI103" s="113" t="s">
        <v>4576</v>
      </c>
      <c r="AJ103" s="113">
        <v>-5527618</v>
      </c>
      <c r="AK103" s="99">
        <v>0</v>
      </c>
      <c r="AL103" s="99">
        <f t="shared" si="23"/>
        <v>50</v>
      </c>
      <c r="AM103" s="117">
        <f t="shared" si="10"/>
        <v>-276380900</v>
      </c>
      <c r="AN103" s="99"/>
    </row>
    <row r="104" spans="4:47">
      <c r="M104" t="s">
        <v>4552</v>
      </c>
      <c r="P104" s="115"/>
      <c r="Q104" s="35">
        <v>559461</v>
      </c>
      <c r="R104" s="5" t="s">
        <v>4709</v>
      </c>
      <c r="S104" s="5">
        <f t="shared" si="24"/>
        <v>18</v>
      </c>
      <c r="T104" s="5" t="s">
        <v>4719</v>
      </c>
      <c r="U104" s="215">
        <v>508.1</v>
      </c>
      <c r="V104" s="99">
        <f t="shared" si="22"/>
        <v>520.80667616438359</v>
      </c>
      <c r="W104" s="32">
        <f t="shared" si="20"/>
        <v>531.22280968767132</v>
      </c>
      <c r="X104" s="32">
        <f t="shared" si="21"/>
        <v>541.63894321095893</v>
      </c>
      <c r="AH104" s="99">
        <v>84</v>
      </c>
      <c r="AI104" s="113" t="s">
        <v>4576</v>
      </c>
      <c r="AJ104" s="113">
        <v>3900000</v>
      </c>
      <c r="AK104" s="99">
        <v>3</v>
      </c>
      <c r="AL104" s="99">
        <f t="shared" si="23"/>
        <v>50</v>
      </c>
      <c r="AM104" s="117">
        <f t="shared" si="10"/>
        <v>195000000</v>
      </c>
      <c r="AN104" s="99"/>
    </row>
    <row r="105" spans="4:47">
      <c r="K105" s="96"/>
      <c r="L105" s="96"/>
      <c r="M105" s="96"/>
      <c r="N105" s="96"/>
      <c r="P105" s="128"/>
      <c r="Q105" s="35">
        <v>169080</v>
      </c>
      <c r="R105" s="5" t="s">
        <v>4709</v>
      </c>
      <c r="S105" s="5">
        <f t="shared" si="24"/>
        <v>18</v>
      </c>
      <c r="T105" s="5" t="s">
        <v>4720</v>
      </c>
      <c r="U105" s="215">
        <v>168.3</v>
      </c>
      <c r="V105" s="99">
        <f t="shared" si="22"/>
        <v>172.50888328767127</v>
      </c>
      <c r="W105" s="32">
        <f t="shared" si="20"/>
        <v>175.95906095342468</v>
      </c>
      <c r="X105" s="32">
        <f t="shared" si="21"/>
        <v>179.40923861917813</v>
      </c>
      <c r="AH105" s="99">
        <v>85</v>
      </c>
      <c r="AI105" s="113" t="s">
        <v>4577</v>
      </c>
      <c r="AJ105" s="113">
        <v>-3969754</v>
      </c>
      <c r="AK105" s="99">
        <v>1</v>
      </c>
      <c r="AL105" s="99">
        <f t="shared" si="23"/>
        <v>47</v>
      </c>
      <c r="AM105" s="117">
        <f t="shared" si="10"/>
        <v>-186578438</v>
      </c>
      <c r="AN105" s="99"/>
    </row>
    <row r="106" spans="4:47">
      <c r="P106" s="128"/>
      <c r="Q106" s="35">
        <v>9376000</v>
      </c>
      <c r="R106" s="5" t="s">
        <v>4709</v>
      </c>
      <c r="S106" s="5">
        <f>S105</f>
        <v>18</v>
      </c>
      <c r="T106" s="5" t="s">
        <v>4721</v>
      </c>
      <c r="U106" s="215">
        <v>3184.1</v>
      </c>
      <c r="V106" s="99">
        <f t="shared" si="22"/>
        <v>3263.7286706849318</v>
      </c>
      <c r="W106" s="32">
        <f t="shared" si="20"/>
        <v>3329.0032440986306</v>
      </c>
      <c r="X106" s="32">
        <f t="shared" si="21"/>
        <v>3394.277817512329</v>
      </c>
      <c r="Y106" t="s">
        <v>25</v>
      </c>
      <c r="AH106" s="99">
        <v>86</v>
      </c>
      <c r="AI106" s="113" t="s">
        <v>4589</v>
      </c>
      <c r="AJ106" s="113">
        <v>-25574455</v>
      </c>
      <c r="AK106" s="99">
        <v>0</v>
      </c>
      <c r="AL106" s="99">
        <f t="shared" si="23"/>
        <v>46</v>
      </c>
      <c r="AM106" s="117">
        <f t="shared" si="10"/>
        <v>-1176424930</v>
      </c>
      <c r="AN106" s="99"/>
      <c r="AP106" t="s">
        <v>25</v>
      </c>
    </row>
    <row r="107" spans="4:47">
      <c r="P107" s="115"/>
      <c r="Q107" s="169">
        <v>128675</v>
      </c>
      <c r="R107" s="215" t="s">
        <v>4709</v>
      </c>
      <c r="S107" s="215">
        <f t="shared" si="24"/>
        <v>18</v>
      </c>
      <c r="T107" s="215" t="s">
        <v>4722</v>
      </c>
      <c r="U107" s="215">
        <v>699.9</v>
      </c>
      <c r="V107" s="99">
        <f t="shared" si="22"/>
        <v>717.40325260273971</v>
      </c>
      <c r="W107" s="32">
        <f t="shared" si="20"/>
        <v>731.75131765479455</v>
      </c>
      <c r="X107" s="32">
        <f t="shared" si="21"/>
        <v>746.09938270684938</v>
      </c>
      <c r="AH107" s="99">
        <v>87</v>
      </c>
      <c r="AI107" s="113" t="s">
        <v>4589</v>
      </c>
      <c r="AJ107" s="113">
        <v>4000000</v>
      </c>
      <c r="AK107" s="99">
        <v>1</v>
      </c>
      <c r="AL107" s="99">
        <f t="shared" si="23"/>
        <v>46</v>
      </c>
      <c r="AM107" s="117">
        <f t="shared" si="10"/>
        <v>184000000</v>
      </c>
      <c r="AN107" s="99"/>
    </row>
    <row r="108" spans="4:47">
      <c r="F108" s="99" t="s">
        <v>4752</v>
      </c>
      <c r="G108" s="99" t="s">
        <v>941</v>
      </c>
      <c r="H108" s="99" t="s">
        <v>4727</v>
      </c>
      <c r="I108" s="99" t="s">
        <v>4726</v>
      </c>
      <c r="J108" s="32" t="s">
        <v>4553</v>
      </c>
      <c r="K108" s="168" t="s">
        <v>4711</v>
      </c>
      <c r="L108" s="32" t="s">
        <v>4713</v>
      </c>
      <c r="M108" s="32" t="s">
        <v>4680</v>
      </c>
      <c r="N108" s="168" t="s">
        <v>4681</v>
      </c>
      <c r="Q108" s="169">
        <v>101201</v>
      </c>
      <c r="R108" s="215" t="s">
        <v>4709</v>
      </c>
      <c r="S108" s="215">
        <f t="shared" si="24"/>
        <v>18</v>
      </c>
      <c r="T108" s="215" t="s">
        <v>4723</v>
      </c>
      <c r="U108" s="215">
        <v>290.3</v>
      </c>
      <c r="V108" s="99">
        <f t="shared" si="22"/>
        <v>297.55988602739728</v>
      </c>
      <c r="W108" s="32">
        <f t="shared" si="20"/>
        <v>303.51108374794524</v>
      </c>
      <c r="X108" s="32">
        <f t="shared" si="21"/>
        <v>309.46228146849319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45</v>
      </c>
      <c r="AM108" s="117">
        <f t="shared" si="10"/>
        <v>-225000000</v>
      </c>
      <c r="AN108" s="99"/>
    </row>
    <row r="109" spans="4:47">
      <c r="F109" s="184">
        <f t="shared" ref="F109:F114" si="25">$L$117/G109</f>
        <v>26564.344746162926</v>
      </c>
      <c r="G109" s="184">
        <f>P60</f>
        <v>169.4</v>
      </c>
      <c r="H109" s="184" t="s">
        <v>4731</v>
      </c>
      <c r="I109" s="184" t="s">
        <v>4730</v>
      </c>
      <c r="J109" s="220" t="s">
        <v>4243</v>
      </c>
      <c r="K109" s="201">
        <v>60</v>
      </c>
      <c r="L109" s="221">
        <f t="shared" ref="L109:L115" si="26">K109*$L$117</f>
        <v>270000000</v>
      </c>
      <c r="M109" s="221">
        <f>N21+N33+N60</f>
        <v>229448573.20000002</v>
      </c>
      <c r="N109" s="185">
        <f t="shared" ref="N109:N115" si="27">L109-M109</f>
        <v>40551426.799999982</v>
      </c>
      <c r="Q109" s="35">
        <v>13100555</v>
      </c>
      <c r="R109" s="5" t="s">
        <v>4738</v>
      </c>
      <c r="S109" s="5">
        <f>S108-1</f>
        <v>17</v>
      </c>
      <c r="T109" s="5" t="s">
        <v>4741</v>
      </c>
      <c r="U109" s="215">
        <v>3180.5</v>
      </c>
      <c r="V109" s="99">
        <f t="shared" si="22"/>
        <v>3257.5988054794525</v>
      </c>
      <c r="W109" s="32">
        <f t="shared" si="20"/>
        <v>3322.7507815890417</v>
      </c>
      <c r="X109" s="32">
        <f t="shared" si="21"/>
        <v>3387.9027576986309</v>
      </c>
      <c r="AD109" s="96"/>
      <c r="AE109"/>
      <c r="AF109"/>
      <c r="AH109" s="99">
        <v>89</v>
      </c>
      <c r="AI109" s="113" t="s">
        <v>4597</v>
      </c>
      <c r="AJ109" s="113">
        <v>10000000</v>
      </c>
      <c r="AK109" s="99">
        <v>4</v>
      </c>
      <c r="AL109" s="99">
        <f t="shared" si="23"/>
        <v>43</v>
      </c>
      <c r="AM109" s="117">
        <f t="shared" si="10"/>
        <v>430000000</v>
      </c>
      <c r="AN109" s="99"/>
    </row>
    <row r="110" spans="4:47">
      <c r="F110" s="99">
        <f t="shared" si="25"/>
        <v>896.95036874626271</v>
      </c>
      <c r="G110" s="99">
        <f>P50</f>
        <v>5017</v>
      </c>
      <c r="H110" s="99" t="s">
        <v>4733</v>
      </c>
      <c r="I110" s="99" t="s">
        <v>4732</v>
      </c>
      <c r="J110" s="32" t="s">
        <v>4400</v>
      </c>
      <c r="K110" s="168">
        <v>30</v>
      </c>
      <c r="L110" s="1">
        <f t="shared" si="26"/>
        <v>135000000</v>
      </c>
      <c r="M110" s="1">
        <f>N26+N50+N29</f>
        <v>110248575</v>
      </c>
      <c r="N110" s="113">
        <f t="shared" si="27"/>
        <v>24751425</v>
      </c>
      <c r="Q110" s="35">
        <v>622942</v>
      </c>
      <c r="R110" s="5" t="s">
        <v>4738</v>
      </c>
      <c r="S110" s="5">
        <f>S109</f>
        <v>17</v>
      </c>
      <c r="T110" s="5" t="s">
        <v>4742</v>
      </c>
      <c r="U110" s="215">
        <v>503.3</v>
      </c>
      <c r="V110" s="99">
        <f t="shared" si="22"/>
        <v>515.50054356164389</v>
      </c>
      <c r="W110" s="32">
        <f t="shared" si="20"/>
        <v>525.81055443287676</v>
      </c>
      <c r="X110" s="32">
        <f t="shared" si="21"/>
        <v>536.12056530410962</v>
      </c>
      <c r="AH110" s="99">
        <v>90</v>
      </c>
      <c r="AI110" s="113" t="s">
        <v>4599</v>
      </c>
      <c r="AJ110" s="113">
        <v>-5241937</v>
      </c>
      <c r="AK110" s="99">
        <v>0</v>
      </c>
      <c r="AL110" s="99">
        <f t="shared" si="23"/>
        <v>39</v>
      </c>
      <c r="AM110" s="117">
        <f t="shared" si="10"/>
        <v>-204435543</v>
      </c>
      <c r="AN110" s="99"/>
    </row>
    <row r="111" spans="4:47">
      <c r="F111" s="184">
        <f t="shared" si="25"/>
        <v>1426.8049082088842</v>
      </c>
      <c r="G111" s="184">
        <f>P46</f>
        <v>3153.9</v>
      </c>
      <c r="H111" s="184" t="s">
        <v>3881</v>
      </c>
      <c r="I111" s="184" t="s">
        <v>4734</v>
      </c>
      <c r="J111" s="220" t="s">
        <v>4396</v>
      </c>
      <c r="K111" s="201">
        <v>30</v>
      </c>
      <c r="L111" s="221">
        <f t="shared" si="26"/>
        <v>135000000</v>
      </c>
      <c r="M111" s="221">
        <f>N46</f>
        <v>67471382.700000003</v>
      </c>
      <c r="N111" s="185">
        <f t="shared" si="27"/>
        <v>67528617.299999997</v>
      </c>
      <c r="Q111" s="35">
        <v>1472140</v>
      </c>
      <c r="R111" s="5" t="s">
        <v>4747</v>
      </c>
      <c r="S111" s="5">
        <f>S110-3</f>
        <v>14</v>
      </c>
      <c r="T111" s="5" t="s">
        <v>4751</v>
      </c>
      <c r="U111" s="168">
        <v>502</v>
      </c>
      <c r="V111" s="99">
        <f t="shared" si="22"/>
        <v>513.01374246575358</v>
      </c>
      <c r="W111" s="32">
        <f t="shared" si="20"/>
        <v>523.2740173150687</v>
      </c>
      <c r="X111" s="32">
        <f t="shared" si="21"/>
        <v>533.53429216438371</v>
      </c>
      <c r="AH111" s="99">
        <v>91</v>
      </c>
      <c r="AI111" s="113" t="s">
        <v>4599</v>
      </c>
      <c r="AJ111" s="113">
        <v>21900000</v>
      </c>
      <c r="AK111" s="99">
        <v>2</v>
      </c>
      <c r="AL111" s="99">
        <f t="shared" si="23"/>
        <v>39</v>
      </c>
      <c r="AM111" s="117">
        <f t="shared" si="10"/>
        <v>854100000</v>
      </c>
      <c r="AN111" s="99"/>
      <c r="AP111" t="s">
        <v>25</v>
      </c>
      <c r="AR111" s="96"/>
      <c r="AS111" s="96"/>
      <c r="AT111"/>
      <c r="AU111"/>
    </row>
    <row r="112" spans="4:47">
      <c r="F112" s="99">
        <f t="shared" si="25"/>
        <v>9211.8730808597757</v>
      </c>
      <c r="G112" s="99">
        <f>P53</f>
        <v>488.5</v>
      </c>
      <c r="H112" s="99" t="s">
        <v>4729</v>
      </c>
      <c r="I112" s="99" t="s">
        <v>4728</v>
      </c>
      <c r="J112" s="32" t="s">
        <v>4415</v>
      </c>
      <c r="K112" s="168">
        <v>30</v>
      </c>
      <c r="L112" s="1">
        <f t="shared" si="26"/>
        <v>135000000</v>
      </c>
      <c r="M112" s="1">
        <f>N53+N24+N31</f>
        <v>59933088</v>
      </c>
      <c r="N112" s="113">
        <f t="shared" si="27"/>
        <v>75066912</v>
      </c>
      <c r="Q112" s="35">
        <v>4394591</v>
      </c>
      <c r="R112" s="5" t="s">
        <v>4754</v>
      </c>
      <c r="S112" s="5">
        <f>S111-1</f>
        <v>13</v>
      </c>
      <c r="T112" s="5" t="s">
        <v>4755</v>
      </c>
      <c r="U112" s="168">
        <v>481.7</v>
      </c>
      <c r="V112" s="99">
        <f t="shared" si="22"/>
        <v>491.89884273972604</v>
      </c>
      <c r="W112" s="32">
        <f t="shared" si="20"/>
        <v>501.73681959452057</v>
      </c>
      <c r="X112" s="32">
        <f t="shared" si="21"/>
        <v>511.5747964493151</v>
      </c>
      <c r="AH112" s="99">
        <v>92</v>
      </c>
      <c r="AI112" s="113" t="s">
        <v>4609</v>
      </c>
      <c r="AJ112" s="113">
        <v>-15000000</v>
      </c>
      <c r="AK112" s="99">
        <v>0</v>
      </c>
      <c r="AL112" s="99">
        <f t="shared" si="23"/>
        <v>37</v>
      </c>
      <c r="AM112" s="117">
        <f t="shared" si="10"/>
        <v>-555000000</v>
      </c>
      <c r="AN112" s="99"/>
      <c r="AO112" t="s">
        <v>25</v>
      </c>
    </row>
    <row r="113" spans="6:43">
      <c r="F113" s="184">
        <f t="shared" si="25"/>
        <v>969.36797208220241</v>
      </c>
      <c r="G113" s="184">
        <f>P55</f>
        <v>4642.2</v>
      </c>
      <c r="H113" s="184" t="s">
        <v>4735</v>
      </c>
      <c r="I113" s="184" t="s">
        <v>4734</v>
      </c>
      <c r="J113" s="220" t="s">
        <v>4549</v>
      </c>
      <c r="K113" s="201">
        <v>19</v>
      </c>
      <c r="L113" s="221">
        <f t="shared" si="26"/>
        <v>85500000</v>
      </c>
      <c r="M113" s="221">
        <f>N55</f>
        <v>13299903</v>
      </c>
      <c r="N113" s="185">
        <f t="shared" si="27"/>
        <v>72200097</v>
      </c>
      <c r="Q113" s="117">
        <v>4085110</v>
      </c>
      <c r="R113" s="19" t="s">
        <v>4757</v>
      </c>
      <c r="S113" s="19">
        <f>S112-1</f>
        <v>12</v>
      </c>
      <c r="T113" s="19" t="s">
        <v>4758</v>
      </c>
      <c r="U113" s="219">
        <v>3115.9</v>
      </c>
      <c r="V113" s="99">
        <f t="shared" si="22"/>
        <v>3179.481433424658</v>
      </c>
      <c r="W113" s="32">
        <f t="shared" si="20"/>
        <v>3243.0710620931513</v>
      </c>
      <c r="X113" s="32">
        <f t="shared" si="21"/>
        <v>3306.6606907616442</v>
      </c>
      <c r="Y113" t="s">
        <v>25</v>
      </c>
      <c r="AH113" s="99">
        <v>93</v>
      </c>
      <c r="AI113" s="113" t="s">
        <v>4609</v>
      </c>
      <c r="AJ113" s="113">
        <v>3000000</v>
      </c>
      <c r="AK113" s="99">
        <v>1</v>
      </c>
      <c r="AL113" s="99">
        <f t="shared" si="23"/>
        <v>37</v>
      </c>
      <c r="AM113" s="117">
        <f t="shared" si="10"/>
        <v>111000000</v>
      </c>
      <c r="AN113" s="99"/>
    </row>
    <row r="114" spans="6:43">
      <c r="F114" s="99">
        <f t="shared" si="25"/>
        <v>1156.0099673748298</v>
      </c>
      <c r="G114" s="99">
        <f>P54</f>
        <v>3892.7</v>
      </c>
      <c r="H114" s="99" t="s">
        <v>4736</v>
      </c>
      <c r="I114" s="99" t="s">
        <v>4737</v>
      </c>
      <c r="J114" s="32" t="s">
        <v>4550</v>
      </c>
      <c r="K114" s="168">
        <v>19</v>
      </c>
      <c r="L114" s="1">
        <f t="shared" si="26"/>
        <v>85500000</v>
      </c>
      <c r="M114" s="1">
        <f>N54</f>
        <v>2717104.6</v>
      </c>
      <c r="N114" s="113">
        <f t="shared" si="27"/>
        <v>82782895.400000006</v>
      </c>
      <c r="Q114" s="117">
        <v>205386</v>
      </c>
      <c r="R114" s="19" t="s">
        <v>4759</v>
      </c>
      <c r="S114" s="19">
        <f>S113</f>
        <v>12</v>
      </c>
      <c r="T114" s="19" t="s">
        <v>4760</v>
      </c>
      <c r="U114" s="219">
        <v>178.1</v>
      </c>
      <c r="V114" s="99">
        <f t="shared" si="22"/>
        <v>181.73421589041098</v>
      </c>
      <c r="W114" s="32">
        <f t="shared" si="20"/>
        <v>185.3689002082192</v>
      </c>
      <c r="X114" s="32">
        <f t="shared" si="21"/>
        <v>189.00358452602742</v>
      </c>
      <c r="AH114" s="99">
        <v>94</v>
      </c>
      <c r="AI114" s="113" t="s">
        <v>4613</v>
      </c>
      <c r="AJ114" s="113">
        <v>-2103736</v>
      </c>
      <c r="AK114" s="99">
        <v>0</v>
      </c>
      <c r="AL114" s="99">
        <f t="shared" si="23"/>
        <v>36</v>
      </c>
      <c r="AM114" s="117">
        <f t="shared" si="10"/>
        <v>-75734496</v>
      </c>
      <c r="AN114" s="99"/>
    </row>
    <row r="115" spans="6:43">
      <c r="F115" s="184"/>
      <c r="G115" s="184"/>
      <c r="H115" s="184"/>
      <c r="I115" s="184"/>
      <c r="J115" s="220" t="s">
        <v>4694</v>
      </c>
      <c r="K115" s="201">
        <v>5</v>
      </c>
      <c r="L115" s="221">
        <f t="shared" si="26"/>
        <v>22500000</v>
      </c>
      <c r="M115" s="221">
        <f>N22+N48+N49+N56+N52+N59+N58+N57+N51+N32+N25</f>
        <v>16605202.5</v>
      </c>
      <c r="N115" s="185">
        <f t="shared" si="27"/>
        <v>5894797.5</v>
      </c>
      <c r="Q115" s="117">
        <v>101496</v>
      </c>
      <c r="R115" s="19" t="s">
        <v>4761</v>
      </c>
      <c r="S115" s="19">
        <f>S114-1</f>
        <v>11</v>
      </c>
      <c r="T115" s="19" t="s">
        <v>4763</v>
      </c>
      <c r="U115" s="219">
        <v>168.1</v>
      </c>
      <c r="V115" s="99">
        <f t="shared" si="22"/>
        <v>171.40120767123287</v>
      </c>
      <c r="W115" s="32">
        <f t="shared" si="20"/>
        <v>174.82923182465754</v>
      </c>
      <c r="X115" s="32">
        <f t="shared" si="21"/>
        <v>178.25725597808218</v>
      </c>
      <c r="AH115" s="99">
        <v>95</v>
      </c>
      <c r="AI115" s="113" t="s">
        <v>4613</v>
      </c>
      <c r="AJ115" s="113">
        <v>220000</v>
      </c>
      <c r="AK115" s="99">
        <v>3</v>
      </c>
      <c r="AL115" s="99">
        <f t="shared" si="23"/>
        <v>36</v>
      </c>
      <c r="AM115" s="117">
        <f t="shared" si="10"/>
        <v>7920000</v>
      </c>
      <c r="AN115" s="99"/>
      <c r="AQ115" t="s">
        <v>25</v>
      </c>
    </row>
    <row r="116" spans="6:43">
      <c r="F116" s="99"/>
      <c r="G116" s="99"/>
      <c r="H116" s="99"/>
      <c r="I116" s="99"/>
      <c r="J116" s="168" t="s">
        <v>4714</v>
      </c>
      <c r="K116" s="168">
        <f>SUM(K109:K115)</f>
        <v>193</v>
      </c>
      <c r="L116" s="168"/>
      <c r="M116" s="168"/>
      <c r="N116" s="169"/>
      <c r="Q116" s="117">
        <v>8398607</v>
      </c>
      <c r="R116" s="19" t="s">
        <v>4773</v>
      </c>
      <c r="S116" s="19">
        <f>S115-7</f>
        <v>4</v>
      </c>
      <c r="T116" s="19" t="s">
        <v>4775</v>
      </c>
      <c r="U116" s="219">
        <v>3120.5</v>
      </c>
      <c r="V116" s="99">
        <f t="shared" si="22"/>
        <v>3165.0248328767129</v>
      </c>
      <c r="W116" s="32">
        <f t="shared" si="20"/>
        <v>3228.3253295342474</v>
      </c>
      <c r="X116" s="32">
        <f t="shared" si="21"/>
        <v>3291.6258261917815</v>
      </c>
      <c r="Y116" t="s">
        <v>25</v>
      </c>
      <c r="AH116" s="99">
        <v>96</v>
      </c>
      <c r="AI116" s="113" t="s">
        <v>4623</v>
      </c>
      <c r="AJ116" s="113">
        <v>4000000</v>
      </c>
      <c r="AK116" s="99">
        <v>1</v>
      </c>
      <c r="AL116" s="99">
        <f t="shared" si="23"/>
        <v>33</v>
      </c>
      <c r="AM116" s="117">
        <f t="shared" si="10"/>
        <v>132000000</v>
      </c>
      <c r="AN116" s="99"/>
    </row>
    <row r="117" spans="6:43">
      <c r="F117" s="184"/>
      <c r="G117" s="184"/>
      <c r="H117" s="184"/>
      <c r="I117" s="184"/>
      <c r="J117" s="201"/>
      <c r="K117" s="201">
        <v>69</v>
      </c>
      <c r="L117" s="39">
        <f>10*P61</f>
        <v>4500000</v>
      </c>
      <c r="M117" s="221">
        <f>K117*L117</f>
        <v>310500000</v>
      </c>
      <c r="N117" s="185">
        <f>SUM(N109:N115)-M117</f>
        <v>58276171</v>
      </c>
      <c r="Q117" s="117">
        <v>18565999</v>
      </c>
      <c r="R117" s="19" t="s">
        <v>4776</v>
      </c>
      <c r="S117" s="19">
        <f>S116-1</f>
        <v>3</v>
      </c>
      <c r="T117" s="19" t="s">
        <v>4785</v>
      </c>
      <c r="U117" s="219">
        <v>3112.4</v>
      </c>
      <c r="V117" s="99">
        <f t="shared" si="22"/>
        <v>3154.421663561644</v>
      </c>
      <c r="W117" s="32">
        <f t="shared" si="20"/>
        <v>3217.510096832877</v>
      </c>
      <c r="X117" s="32">
        <f t="shared" si="21"/>
        <v>3280.5985301041101</v>
      </c>
      <c r="Y117" t="s">
        <v>25</v>
      </c>
      <c r="AH117" s="99">
        <v>97</v>
      </c>
      <c r="AI117" s="113" t="s">
        <v>4629</v>
      </c>
      <c r="AJ117" s="113">
        <v>-9000000</v>
      </c>
      <c r="AK117" s="99">
        <v>0</v>
      </c>
      <c r="AL117" s="99">
        <f t="shared" si="23"/>
        <v>32</v>
      </c>
      <c r="AM117" s="117">
        <f t="shared" si="10"/>
        <v>-288000000</v>
      </c>
      <c r="AN117" s="99"/>
      <c r="AP117" t="s">
        <v>25</v>
      </c>
    </row>
    <row r="118" spans="6:43" ht="45">
      <c r="F118" s="99"/>
      <c r="G118" s="99"/>
      <c r="H118" s="99"/>
      <c r="I118" s="99"/>
      <c r="J118" s="168"/>
      <c r="K118" s="216" t="s">
        <v>4802</v>
      </c>
      <c r="L118" s="168" t="s">
        <v>4253</v>
      </c>
      <c r="M118" s="168" t="s">
        <v>4703</v>
      </c>
      <c r="N118" s="168" t="s">
        <v>4704</v>
      </c>
      <c r="Q118" s="117">
        <v>986501</v>
      </c>
      <c r="R118" s="19" t="s">
        <v>4776</v>
      </c>
      <c r="S118" s="19">
        <f>S117</f>
        <v>3</v>
      </c>
      <c r="T118" s="19" t="s">
        <v>4787</v>
      </c>
      <c r="U118" s="219">
        <v>411.2</v>
      </c>
      <c r="V118" s="99">
        <f t="shared" si="22"/>
        <v>416.75176328767122</v>
      </c>
      <c r="W118" s="32">
        <f t="shared" si="20"/>
        <v>425.08679855342467</v>
      </c>
      <c r="X118" s="32">
        <f t="shared" si="21"/>
        <v>433.42183381917806</v>
      </c>
      <c r="Y118" s="122" t="s">
        <v>25</v>
      </c>
      <c r="AH118" s="99">
        <v>98</v>
      </c>
      <c r="AI118" s="113" t="s">
        <v>4629</v>
      </c>
      <c r="AJ118" s="113">
        <v>13900000</v>
      </c>
      <c r="AK118" s="99">
        <v>2</v>
      </c>
      <c r="AL118" s="99">
        <f t="shared" si="23"/>
        <v>32</v>
      </c>
      <c r="AM118" s="117">
        <f t="shared" si="10"/>
        <v>444800000</v>
      </c>
      <c r="AN118" s="99"/>
    </row>
    <row r="119" spans="6:43">
      <c r="F119" s="184"/>
      <c r="G119" s="184"/>
      <c r="H119" s="184"/>
      <c r="I119" s="184"/>
      <c r="J119" s="201" t="s">
        <v>4712</v>
      </c>
      <c r="K119" s="201"/>
      <c r="L119" s="201"/>
      <c r="M119" s="201"/>
      <c r="N119" s="201"/>
      <c r="Q119" s="117">
        <v>144241</v>
      </c>
      <c r="R119" s="19" t="s">
        <v>4776</v>
      </c>
      <c r="S119" s="19">
        <f>S118</f>
        <v>3</v>
      </c>
      <c r="T119" s="19" t="s">
        <v>4791</v>
      </c>
      <c r="U119" s="219">
        <v>830</v>
      </c>
      <c r="V119" s="99">
        <f t="shared" si="22"/>
        <v>841.20613698630143</v>
      </c>
      <c r="W119" s="32">
        <f t="shared" si="20"/>
        <v>858.03025972602745</v>
      </c>
      <c r="X119" s="32">
        <f t="shared" si="21"/>
        <v>874.85438246575347</v>
      </c>
      <c r="AH119" s="99">
        <v>99</v>
      </c>
      <c r="AI119" s="113" t="s">
        <v>4639</v>
      </c>
      <c r="AJ119" s="113">
        <v>-8127577</v>
      </c>
      <c r="AK119" s="99">
        <v>1</v>
      </c>
      <c r="AL119" s="99">
        <f t="shared" si="23"/>
        <v>30</v>
      </c>
      <c r="AM119" s="117">
        <f t="shared" si="10"/>
        <v>-243827310</v>
      </c>
      <c r="AN119" s="99"/>
      <c r="AO119" t="s">
        <v>25</v>
      </c>
    </row>
    <row r="120" spans="6:43">
      <c r="M120" t="s">
        <v>25</v>
      </c>
      <c r="Q120" s="117">
        <v>13293737</v>
      </c>
      <c r="R120" s="19" t="s">
        <v>4794</v>
      </c>
      <c r="S120" s="19">
        <f>S119-3</f>
        <v>0</v>
      </c>
      <c r="T120" s="19" t="s">
        <v>4803</v>
      </c>
      <c r="U120" s="219">
        <v>489</v>
      </c>
      <c r="V120" s="99">
        <f t="shared" si="22"/>
        <v>494.47680000000003</v>
      </c>
      <c r="W120" s="32">
        <f t="shared" si="20"/>
        <v>504.36633600000005</v>
      </c>
      <c r="X120" s="32">
        <f t="shared" si="21"/>
        <v>514.25587200000007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3"/>
        <v>29</v>
      </c>
      <c r="AM120" s="117">
        <f t="shared" si="10"/>
        <v>457983921</v>
      </c>
      <c r="AN120" s="99"/>
      <c r="AO120" t="s">
        <v>25</v>
      </c>
      <c r="AP120" t="s">
        <v>25</v>
      </c>
    </row>
    <row r="121" spans="6:43">
      <c r="Q121" s="117">
        <v>202640</v>
      </c>
      <c r="R121" s="19" t="s">
        <v>4794</v>
      </c>
      <c r="S121" s="19">
        <f>S120</f>
        <v>0</v>
      </c>
      <c r="T121" s="19" t="s">
        <v>4808</v>
      </c>
      <c r="U121" s="219">
        <v>1695</v>
      </c>
      <c r="V121" s="99">
        <f t="shared" si="22"/>
        <v>1713.9840000000002</v>
      </c>
      <c r="W121" s="32">
        <f t="shared" si="20"/>
        <v>1748.2636800000002</v>
      </c>
      <c r="X121" s="32">
        <f t="shared" si="21"/>
        <v>1782.5433600000001</v>
      </c>
      <c r="AH121" s="99">
        <v>101</v>
      </c>
      <c r="AI121" s="113" t="s">
        <v>4644</v>
      </c>
      <c r="AJ121" s="113">
        <v>8800000</v>
      </c>
      <c r="AK121" s="99">
        <v>0</v>
      </c>
      <c r="AL121" s="99">
        <f t="shared" ref="AL121:AL125" si="28">AL122+AK121</f>
        <v>26</v>
      </c>
      <c r="AM121" s="117">
        <f t="shared" ref="AM121:AM147" si="29">AJ121*AL121</f>
        <v>228800000</v>
      </c>
      <c r="AN121" s="99"/>
      <c r="AP121" t="s">
        <v>25</v>
      </c>
    </row>
    <row r="122" spans="6:43" ht="45">
      <c r="K122" s="168" t="s">
        <v>4553</v>
      </c>
      <c r="L122" s="168" t="s">
        <v>4554</v>
      </c>
      <c r="M122" s="168" t="s">
        <v>4442</v>
      </c>
      <c r="N122" s="56" t="s">
        <v>190</v>
      </c>
      <c r="P122" s="114"/>
      <c r="Q122" s="169"/>
      <c r="R122" s="168"/>
      <c r="S122" s="168"/>
      <c r="T122" s="168"/>
      <c r="U122" s="168"/>
      <c r="V122" s="99"/>
      <c r="W122" s="32"/>
      <c r="X122" s="32"/>
      <c r="AH122" s="121">
        <v>102</v>
      </c>
      <c r="AI122" s="79" t="s">
        <v>4644</v>
      </c>
      <c r="AJ122" s="79">
        <v>13071612</v>
      </c>
      <c r="AK122" s="121">
        <v>1</v>
      </c>
      <c r="AL122" s="121">
        <f t="shared" si="28"/>
        <v>26</v>
      </c>
      <c r="AM122" s="79">
        <f t="shared" si="29"/>
        <v>339861912</v>
      </c>
      <c r="AN122" s="210" t="s">
        <v>4647</v>
      </c>
      <c r="AQ122" t="s">
        <v>25</v>
      </c>
    </row>
    <row r="123" spans="6:43">
      <c r="K123" s="168" t="s">
        <v>4243</v>
      </c>
      <c r="L123" s="169">
        <v>1100000</v>
      </c>
      <c r="M123" s="169">
        <v>1637000</v>
      </c>
      <c r="N123" s="168">
        <f t="shared" ref="N123:N131" si="30">(M123-L123)*100/L123</f>
        <v>48.81818181818182</v>
      </c>
      <c r="Q123" s="169"/>
      <c r="R123" s="168"/>
      <c r="S123" s="168"/>
      <c r="T123" s="168"/>
      <c r="U123" s="168"/>
      <c r="V123" s="99">
        <f>U123*(1+$N$92+$Q$15*S123/36500)</f>
        <v>0</v>
      </c>
      <c r="W123" s="32">
        <f t="shared" si="20"/>
        <v>0</v>
      </c>
      <c r="X123" s="32">
        <f t="shared" si="21"/>
        <v>0</v>
      </c>
      <c r="Y123" t="s">
        <v>25</v>
      </c>
      <c r="AH123" s="89">
        <v>103</v>
      </c>
      <c r="AI123" s="90" t="s">
        <v>4650</v>
      </c>
      <c r="AJ123" s="90">
        <v>16727037</v>
      </c>
      <c r="AK123" s="89">
        <v>0</v>
      </c>
      <c r="AL123" s="89">
        <f t="shared" si="28"/>
        <v>25</v>
      </c>
      <c r="AM123" s="90">
        <f t="shared" si="29"/>
        <v>418175925</v>
      </c>
      <c r="AN123" s="89" t="s">
        <v>4662</v>
      </c>
    </row>
    <row r="124" spans="6:43">
      <c r="K124" s="5" t="s">
        <v>4548</v>
      </c>
      <c r="L124" s="169">
        <v>1100000</v>
      </c>
      <c r="M124" s="169">
        <v>4748000</v>
      </c>
      <c r="N124" s="168">
        <f t="shared" si="30"/>
        <v>331.63636363636363</v>
      </c>
      <c r="Q124" s="113">
        <f>SUM(N46:N61)-SUM(Q62:Q123)</f>
        <v>-34880326.300000012</v>
      </c>
      <c r="R124" s="112"/>
      <c r="S124" s="112"/>
      <c r="T124" s="112"/>
      <c r="U124" s="168"/>
      <c r="V124" s="99" t="s">
        <v>25</v>
      </c>
      <c r="W124" s="32"/>
      <c r="X124" s="32"/>
      <c r="AH124" s="99">
        <v>104</v>
      </c>
      <c r="AI124" s="113" t="s">
        <v>4650</v>
      </c>
      <c r="AJ124" s="113">
        <v>12000000</v>
      </c>
      <c r="AK124" s="99">
        <v>1</v>
      </c>
      <c r="AL124" s="99">
        <f t="shared" si="28"/>
        <v>25</v>
      </c>
      <c r="AM124" s="117">
        <f t="shared" si="29"/>
        <v>300000000</v>
      </c>
      <c r="AN124" s="99" t="s">
        <v>4663</v>
      </c>
    </row>
    <row r="125" spans="6:43">
      <c r="K125" s="5" t="s">
        <v>4549</v>
      </c>
      <c r="L125" s="169">
        <v>1100000</v>
      </c>
      <c r="M125" s="169">
        <v>5137000</v>
      </c>
      <c r="N125" s="168">
        <f t="shared" si="30"/>
        <v>367</v>
      </c>
      <c r="Q125" s="26"/>
      <c r="R125" s="182"/>
      <c r="S125" s="182"/>
      <c r="T125" t="s">
        <v>25</v>
      </c>
      <c r="U125" s="96" t="s">
        <v>25</v>
      </c>
      <c r="V125" s="96" t="s">
        <v>25</v>
      </c>
      <c r="Y125" t="s">
        <v>25</v>
      </c>
      <c r="AH125" s="89">
        <v>105</v>
      </c>
      <c r="AI125" s="90" t="s">
        <v>4564</v>
      </c>
      <c r="AJ125" s="90">
        <v>88697667</v>
      </c>
      <c r="AK125" s="89">
        <v>1</v>
      </c>
      <c r="AL125" s="89">
        <f t="shared" si="28"/>
        <v>24</v>
      </c>
      <c r="AM125" s="90">
        <f t="shared" si="29"/>
        <v>2128744008</v>
      </c>
      <c r="AN125" s="89" t="s">
        <v>4664</v>
      </c>
      <c r="AP125" t="s">
        <v>25</v>
      </c>
    </row>
    <row r="126" spans="6:43">
      <c r="K126" s="19" t="s">
        <v>4396</v>
      </c>
      <c r="L126" s="169">
        <v>1100000</v>
      </c>
      <c r="M126" s="169">
        <v>4300000</v>
      </c>
      <c r="N126" s="168">
        <f t="shared" si="30"/>
        <v>290.90909090909093</v>
      </c>
      <c r="P126" s="114"/>
      <c r="R126" s="32" t="s">
        <v>4588</v>
      </c>
      <c r="S126" s="32" t="s">
        <v>950</v>
      </c>
      <c r="T126" t="s">
        <v>25</v>
      </c>
      <c r="U126" s="96" t="s">
        <v>25</v>
      </c>
      <c r="V126" s="96" t="s">
        <v>25</v>
      </c>
      <c r="W126" s="96" t="s">
        <v>25</v>
      </c>
      <c r="X126" s="122" t="s">
        <v>25</v>
      </c>
      <c r="AH126" s="99">
        <v>106</v>
      </c>
      <c r="AI126" s="113" t="s">
        <v>4567</v>
      </c>
      <c r="AJ126" s="113">
        <v>101000</v>
      </c>
      <c r="AK126" s="99">
        <v>0</v>
      </c>
      <c r="AL126" s="99">
        <f>AL127+AK126</f>
        <v>23</v>
      </c>
      <c r="AM126" s="117">
        <f t="shared" si="29"/>
        <v>2323000</v>
      </c>
      <c r="AN126" s="99"/>
    </row>
    <row r="127" spans="6:43">
      <c r="K127" s="5" t="s">
        <v>4415</v>
      </c>
      <c r="L127" s="169">
        <v>1100000</v>
      </c>
      <c r="M127" s="169">
        <v>3191000</v>
      </c>
      <c r="N127" s="168">
        <f t="shared" si="30"/>
        <v>190.09090909090909</v>
      </c>
      <c r="R127" s="32">
        <v>3065</v>
      </c>
      <c r="S127" s="169">
        <v>13858128</v>
      </c>
      <c r="U127" s="96" t="s">
        <v>25</v>
      </c>
      <c r="V127" s="122" t="s">
        <v>25</v>
      </c>
      <c r="X127" t="s">
        <v>25</v>
      </c>
      <c r="AH127" s="149">
        <v>107</v>
      </c>
      <c r="AI127" s="190" t="s">
        <v>4661</v>
      </c>
      <c r="AJ127" s="190">
        <v>-48200</v>
      </c>
      <c r="AK127" s="149">
        <v>0</v>
      </c>
      <c r="AL127" s="149">
        <f t="shared" ref="AL127:AL147" si="31">AL128+AK127</f>
        <v>23</v>
      </c>
      <c r="AM127" s="190">
        <f t="shared" si="29"/>
        <v>-1108600</v>
      </c>
      <c r="AN127" s="149" t="s">
        <v>4672</v>
      </c>
      <c r="AQ127" t="s">
        <v>25</v>
      </c>
    </row>
    <row r="128" spans="6:43">
      <c r="K128" s="5" t="s">
        <v>4550</v>
      </c>
      <c r="L128" s="169">
        <v>1100000</v>
      </c>
      <c r="M128" s="169">
        <v>5623000</v>
      </c>
      <c r="N128" s="168">
        <f t="shared" si="30"/>
        <v>411.18181818181819</v>
      </c>
      <c r="Q128" t="s">
        <v>25</v>
      </c>
      <c r="R128" s="32">
        <v>200</v>
      </c>
      <c r="S128" s="1">
        <f>S127*R128/R127</f>
        <v>904282.41435562808</v>
      </c>
      <c r="U128" s="96" t="s">
        <v>25</v>
      </c>
      <c r="V128" s="122" t="s">
        <v>25</v>
      </c>
      <c r="W128" s="96" t="s">
        <v>25</v>
      </c>
      <c r="X128" t="s">
        <v>25</v>
      </c>
      <c r="AH128" s="89">
        <v>108</v>
      </c>
      <c r="AI128" s="90" t="s">
        <v>4661</v>
      </c>
      <c r="AJ128" s="90">
        <v>39327293</v>
      </c>
      <c r="AK128" s="89">
        <v>4</v>
      </c>
      <c r="AL128" s="149">
        <f t="shared" si="31"/>
        <v>23</v>
      </c>
      <c r="AM128" s="190">
        <f t="shared" si="29"/>
        <v>904527739</v>
      </c>
      <c r="AN128" s="89" t="s">
        <v>4673</v>
      </c>
    </row>
    <row r="129" spans="11:44">
      <c r="K129" s="19" t="s">
        <v>4400</v>
      </c>
      <c r="L129" s="169">
        <v>1100000</v>
      </c>
      <c r="M129" s="169">
        <v>7728000</v>
      </c>
      <c r="N129" s="168">
        <f t="shared" si="30"/>
        <v>602.5454545454545</v>
      </c>
      <c r="R129" s="32">
        <f>R127-R128</f>
        <v>2865</v>
      </c>
      <c r="S129" s="1">
        <f>R129*S127/R127</f>
        <v>12953845.585644372</v>
      </c>
      <c r="V129" s="96"/>
      <c r="W129"/>
      <c r="AH129" s="89">
        <v>109</v>
      </c>
      <c r="AI129" s="90" t="s">
        <v>4689</v>
      </c>
      <c r="AJ129" s="90">
        <v>8749050</v>
      </c>
      <c r="AK129" s="89">
        <v>1</v>
      </c>
      <c r="AL129" s="89">
        <f t="shared" si="31"/>
        <v>19</v>
      </c>
      <c r="AM129" s="90">
        <f t="shared" si="29"/>
        <v>166231950</v>
      </c>
      <c r="AN129" s="89" t="s">
        <v>4693</v>
      </c>
    </row>
    <row r="130" spans="11:44">
      <c r="K130" s="5" t="s">
        <v>4552</v>
      </c>
      <c r="L130" s="169">
        <v>1100000</v>
      </c>
      <c r="M130" s="169">
        <v>2904000</v>
      </c>
      <c r="N130" s="168">
        <f t="shared" si="30"/>
        <v>164</v>
      </c>
      <c r="V130" s="96"/>
      <c r="W130"/>
      <c r="AH130" s="99">
        <v>110</v>
      </c>
      <c r="AI130" s="113" t="s">
        <v>4695</v>
      </c>
      <c r="AJ130" s="113">
        <v>60000</v>
      </c>
      <c r="AK130" s="99">
        <v>1</v>
      </c>
      <c r="AL130" s="99">
        <f t="shared" si="31"/>
        <v>18</v>
      </c>
      <c r="AM130" s="117">
        <f t="shared" si="29"/>
        <v>1080000</v>
      </c>
      <c r="AN130" s="99" t="s">
        <v>4696</v>
      </c>
      <c r="AQ130" t="s">
        <v>25</v>
      </c>
    </row>
    <row r="131" spans="11:44">
      <c r="K131" s="56" t="s">
        <v>1086</v>
      </c>
      <c r="L131" s="169">
        <v>1100000</v>
      </c>
      <c r="M131" s="169">
        <v>3400000</v>
      </c>
      <c r="N131" s="168">
        <f t="shared" si="30"/>
        <v>209.09090909090909</v>
      </c>
      <c r="P131" s="114"/>
      <c r="Q131" s="99" t="s">
        <v>4469</v>
      </c>
      <c r="R131" s="99" t="s">
        <v>4471</v>
      </c>
      <c r="S131" s="99"/>
      <c r="T131" s="99" t="s">
        <v>4472</v>
      </c>
      <c r="U131" s="99"/>
      <c r="V131" s="99"/>
      <c r="W131" s="99" t="s">
        <v>4593</v>
      </c>
      <c r="AH131" s="20">
        <v>111</v>
      </c>
      <c r="AI131" s="117" t="s">
        <v>4705</v>
      </c>
      <c r="AJ131" s="117">
        <v>4750000</v>
      </c>
      <c r="AK131" s="20">
        <v>0</v>
      </c>
      <c r="AL131" s="99">
        <f t="shared" si="31"/>
        <v>17</v>
      </c>
      <c r="AM131" s="117">
        <f t="shared" si="29"/>
        <v>80750000</v>
      </c>
      <c r="AN131" s="20"/>
    </row>
    <row r="132" spans="11:44">
      <c r="K132" s="208" t="s">
        <v>4584</v>
      </c>
      <c r="P132">
        <f>37457+R135</f>
        <v>921626</v>
      </c>
      <c r="Q132" s="113">
        <v>1000</v>
      </c>
      <c r="R132" s="99">
        <v>0.25</v>
      </c>
      <c r="S132" s="99"/>
      <c r="T132" s="99">
        <f>1-R132</f>
        <v>0.75</v>
      </c>
      <c r="U132" s="99"/>
      <c r="V132" s="99"/>
      <c r="W132" s="99"/>
      <c r="AH132" s="89">
        <v>112</v>
      </c>
      <c r="AI132" s="90" t="s">
        <v>4705</v>
      </c>
      <c r="AJ132" s="90">
        <v>13101160</v>
      </c>
      <c r="AK132" s="89">
        <v>1</v>
      </c>
      <c r="AL132" s="89">
        <f t="shared" si="31"/>
        <v>17</v>
      </c>
      <c r="AM132" s="90">
        <f t="shared" si="29"/>
        <v>222719720</v>
      </c>
      <c r="AN132" s="89" t="s">
        <v>4710</v>
      </c>
    </row>
    <row r="133" spans="11:44">
      <c r="K133" s="208" t="s">
        <v>4585</v>
      </c>
      <c r="Q133" s="168" t="s">
        <v>4456</v>
      </c>
      <c r="R133" s="168" t="s">
        <v>4474</v>
      </c>
      <c r="S133" s="168" t="s">
        <v>4476</v>
      </c>
      <c r="T133" s="168" t="s">
        <v>180</v>
      </c>
      <c r="U133" s="168" t="s">
        <v>4470</v>
      </c>
      <c r="V133" s="56" t="s">
        <v>4473</v>
      </c>
      <c r="W133" s="99"/>
      <c r="X133" s="115"/>
      <c r="AH133" s="20">
        <v>113</v>
      </c>
      <c r="AI133" s="117" t="s">
        <v>4709</v>
      </c>
      <c r="AJ133" s="117">
        <v>-980000</v>
      </c>
      <c r="AK133" s="20">
        <v>0</v>
      </c>
      <c r="AL133" s="99">
        <f t="shared" si="31"/>
        <v>16</v>
      </c>
      <c r="AM133" s="117">
        <f t="shared" si="29"/>
        <v>-15680000</v>
      </c>
      <c r="AN133" s="20"/>
    </row>
    <row r="134" spans="11:44">
      <c r="K134" s="208" t="s">
        <v>4586</v>
      </c>
      <c r="Q134" s="168" t="s">
        <v>751</v>
      </c>
      <c r="R134" s="56">
        <v>1280826</v>
      </c>
      <c r="S134" s="113">
        <f>R134*$T$187</f>
        <v>307104241.07294816</v>
      </c>
      <c r="T134" s="168" t="s">
        <v>4468</v>
      </c>
      <c r="U134" s="168">
        <f>$Q$132*$T$132*S134/$R$158</f>
        <v>432.16155117924262</v>
      </c>
      <c r="V134" s="95">
        <f>S134+U134</f>
        <v>307104673.23449934</v>
      </c>
      <c r="W134" s="99">
        <f>R134*100/U184</f>
        <v>57.621540157232353</v>
      </c>
      <c r="X134" s="224"/>
      <c r="AH134" s="89">
        <v>114</v>
      </c>
      <c r="AI134" s="90" t="s">
        <v>4709</v>
      </c>
      <c r="AJ134" s="90">
        <v>13301790</v>
      </c>
      <c r="AK134" s="89">
        <v>0</v>
      </c>
      <c r="AL134" s="89">
        <f t="shared" si="31"/>
        <v>16</v>
      </c>
      <c r="AM134" s="90">
        <f t="shared" si="29"/>
        <v>212828640</v>
      </c>
      <c r="AN134" s="89" t="s">
        <v>4710</v>
      </c>
    </row>
    <row r="135" spans="11:44">
      <c r="Q135" s="168" t="s">
        <v>4458</v>
      </c>
      <c r="R135" s="56">
        <v>884169</v>
      </c>
      <c r="S135" s="113">
        <f>R135*$T$187</f>
        <v>211997609.14068538</v>
      </c>
      <c r="T135" s="168" t="s">
        <v>4468</v>
      </c>
      <c r="U135" s="168">
        <f>$Q$132*$T$132*S135/$R$158+Q132*R132</f>
        <v>548.32611654088828</v>
      </c>
      <c r="V135" s="95">
        <f>S135+U135</f>
        <v>211998157.46680191</v>
      </c>
      <c r="W135" s="99">
        <f>R135*100/U184</f>
        <v>39.776815538785101</v>
      </c>
      <c r="X135" s="115"/>
      <c r="AH135" s="20">
        <v>115</v>
      </c>
      <c r="AI135" s="117" t="s">
        <v>4709</v>
      </c>
      <c r="AJ135" s="117">
        <v>404000</v>
      </c>
      <c r="AK135" s="20">
        <v>5</v>
      </c>
      <c r="AL135" s="99">
        <f t="shared" si="31"/>
        <v>16</v>
      </c>
      <c r="AM135" s="117">
        <f t="shared" si="29"/>
        <v>6464000</v>
      </c>
      <c r="AN135" s="20" t="s">
        <v>4725</v>
      </c>
      <c r="AQ135" t="s">
        <v>25</v>
      </c>
    </row>
    <row r="136" spans="11:44">
      <c r="P136" s="114"/>
      <c r="Q136" s="168" t="s">
        <v>4457</v>
      </c>
      <c r="R136" s="56">
        <v>57830</v>
      </c>
      <c r="S136" s="113">
        <f>R136*$T$187</f>
        <v>13865925.786366448</v>
      </c>
      <c r="T136" s="168" t="s">
        <v>4468</v>
      </c>
      <c r="U136" s="168">
        <f>$Q$132*$T$132*S136/$R$158</f>
        <v>19.512332279869085</v>
      </c>
      <c r="V136" s="95">
        <f>S136+U136</f>
        <v>13865945.298698727</v>
      </c>
      <c r="W136" s="99">
        <f>R136*100/U184</f>
        <v>2.6016443039825448</v>
      </c>
      <c r="X136" s="115"/>
      <c r="AH136" s="89">
        <v>116</v>
      </c>
      <c r="AI136" s="90" t="s">
        <v>4754</v>
      </c>
      <c r="AJ136" s="90">
        <v>4291628</v>
      </c>
      <c r="AK136" s="89">
        <v>2</v>
      </c>
      <c r="AL136" s="89">
        <f t="shared" si="31"/>
        <v>11</v>
      </c>
      <c r="AM136" s="90">
        <f t="shared" si="29"/>
        <v>47207908</v>
      </c>
      <c r="AN136" s="89" t="s">
        <v>4756</v>
      </c>
    </row>
    <row r="137" spans="11:44">
      <c r="P137" s="114"/>
      <c r="Q137" s="168"/>
      <c r="R137" s="56"/>
      <c r="S137" s="168"/>
      <c r="T137" s="168"/>
      <c r="U137" s="168"/>
      <c r="V137" s="99"/>
      <c r="W137" s="99"/>
      <c r="X137" s="115"/>
      <c r="Y137" t="s">
        <v>25</v>
      </c>
      <c r="Z137" t="s">
        <v>25</v>
      </c>
      <c r="AH137" s="20">
        <v>117</v>
      </c>
      <c r="AI137" s="117" t="s">
        <v>4761</v>
      </c>
      <c r="AJ137" s="117">
        <v>1000</v>
      </c>
      <c r="AK137" s="20">
        <v>5</v>
      </c>
      <c r="AL137" s="20">
        <f t="shared" si="31"/>
        <v>9</v>
      </c>
      <c r="AM137" s="117">
        <f t="shared" si="29"/>
        <v>9000</v>
      </c>
      <c r="AN137" s="20"/>
    </row>
    <row r="138" spans="11:44">
      <c r="Q138" s="168"/>
      <c r="R138" s="56"/>
      <c r="S138" s="168"/>
      <c r="T138" s="168"/>
      <c r="U138" s="168"/>
      <c r="V138" s="168"/>
      <c r="W138" s="99"/>
      <c r="X138" s="96"/>
      <c r="Y138" t="s">
        <v>25</v>
      </c>
      <c r="AH138" s="121">
        <v>118</v>
      </c>
      <c r="AI138" s="79" t="s">
        <v>4771</v>
      </c>
      <c r="AJ138" s="79">
        <v>8739459</v>
      </c>
      <c r="AK138" s="121">
        <v>2</v>
      </c>
      <c r="AL138" s="121">
        <f t="shared" si="31"/>
        <v>4</v>
      </c>
      <c r="AM138" s="79">
        <f t="shared" si="29"/>
        <v>34957836</v>
      </c>
      <c r="AN138" s="121" t="s">
        <v>4693</v>
      </c>
    </row>
    <row r="139" spans="11:44">
      <c r="Q139" s="168"/>
      <c r="R139" s="168"/>
      <c r="S139" s="168"/>
      <c r="T139" s="168"/>
      <c r="U139" s="168"/>
      <c r="V139" s="168"/>
      <c r="W139" s="99"/>
      <c r="X139" s="96"/>
      <c r="AH139" s="121">
        <v>119</v>
      </c>
      <c r="AI139" s="79" t="s">
        <v>4773</v>
      </c>
      <c r="AJ139" s="79">
        <v>17595278</v>
      </c>
      <c r="AK139" s="121">
        <v>1</v>
      </c>
      <c r="AL139" s="121">
        <f t="shared" si="31"/>
        <v>2</v>
      </c>
      <c r="AM139" s="79">
        <f t="shared" si="29"/>
        <v>35190556</v>
      </c>
      <c r="AN139" s="121" t="s">
        <v>4778</v>
      </c>
    </row>
    <row r="140" spans="11:44">
      <c r="Q140" s="99"/>
      <c r="R140" s="99"/>
      <c r="S140" s="99"/>
      <c r="T140" s="99" t="s">
        <v>25</v>
      </c>
      <c r="U140" s="99"/>
      <c r="V140" s="99"/>
      <c r="W140" s="99"/>
      <c r="X140" s="96"/>
      <c r="AH140" s="121">
        <v>120</v>
      </c>
      <c r="AI140" s="79" t="s">
        <v>4776</v>
      </c>
      <c r="AJ140" s="79">
        <v>13335309</v>
      </c>
      <c r="AK140" s="121">
        <v>1</v>
      </c>
      <c r="AL140" s="121">
        <f t="shared" si="31"/>
        <v>1</v>
      </c>
      <c r="AM140" s="79">
        <f t="shared" si="29"/>
        <v>13335309</v>
      </c>
      <c r="AN140" s="121" t="s">
        <v>4710</v>
      </c>
    </row>
    <row r="141" spans="11:44">
      <c r="Q141" s="99"/>
      <c r="R141" s="99"/>
      <c r="S141" s="99"/>
      <c r="T141" s="99"/>
      <c r="U141" s="99"/>
      <c r="V141" s="99"/>
      <c r="W141" s="99"/>
      <c r="X141" s="96"/>
      <c r="AH141" s="20"/>
      <c r="AI141" s="117"/>
      <c r="AJ141" s="117"/>
      <c r="AK141" s="20"/>
      <c r="AL141" s="20">
        <f t="shared" si="31"/>
        <v>0</v>
      </c>
      <c r="AM141" s="117">
        <f t="shared" si="29"/>
        <v>0</v>
      </c>
      <c r="AN141" s="20"/>
      <c r="AP141" t="s">
        <v>25</v>
      </c>
      <c r="AR141" t="s">
        <v>25</v>
      </c>
    </row>
    <row r="142" spans="11:44">
      <c r="Q142" s="99"/>
      <c r="R142" s="99"/>
      <c r="S142" s="99"/>
      <c r="T142" s="99"/>
      <c r="U142" s="99"/>
      <c r="V142" s="99"/>
      <c r="W142" s="99"/>
      <c r="X142" s="96"/>
      <c r="AH142" s="20"/>
      <c r="AI142" s="117"/>
      <c r="AJ142" s="117"/>
      <c r="AK142" s="20"/>
      <c r="AL142" s="20">
        <f t="shared" si="31"/>
        <v>0</v>
      </c>
      <c r="AM142" s="117">
        <f t="shared" si="29"/>
        <v>0</v>
      </c>
      <c r="AN142" s="20"/>
    </row>
    <row r="143" spans="11:44">
      <c r="Q143" s="96"/>
      <c r="R143" s="96"/>
      <c r="S143" s="96"/>
      <c r="T143" s="96"/>
      <c r="V143" s="96"/>
      <c r="X143" s="115"/>
      <c r="AH143" s="20"/>
      <c r="AI143" s="117"/>
      <c r="AJ143" s="117"/>
      <c r="AK143" s="20"/>
      <c r="AL143" s="20">
        <f t="shared" si="31"/>
        <v>0</v>
      </c>
      <c r="AM143" s="117">
        <f t="shared" si="29"/>
        <v>0</v>
      </c>
      <c r="AN143" s="20"/>
    </row>
    <row r="144" spans="11:44">
      <c r="Q144" s="96"/>
      <c r="R144" s="96"/>
      <c r="S144" s="96"/>
      <c r="T144" s="96"/>
      <c r="V144" s="96"/>
      <c r="AH144" s="20"/>
      <c r="AI144" s="117"/>
      <c r="AJ144" s="117"/>
      <c r="AK144" s="20"/>
      <c r="AL144" s="20">
        <f t="shared" si="31"/>
        <v>0</v>
      </c>
      <c r="AM144" s="117">
        <f t="shared" si="29"/>
        <v>0</v>
      </c>
      <c r="AN144" s="20"/>
    </row>
    <row r="145" spans="16:44">
      <c r="Q145" s="96"/>
      <c r="R145" s="96"/>
      <c r="S145" s="96"/>
      <c r="T145" s="96" t="s">
        <v>25</v>
      </c>
      <c r="V145" s="96"/>
      <c r="AH145" s="99"/>
      <c r="AI145" s="113"/>
      <c r="AJ145" s="113"/>
      <c r="AK145" s="99"/>
      <c r="AL145" s="99">
        <f t="shared" si="31"/>
        <v>0</v>
      </c>
      <c r="AM145" s="117">
        <f t="shared" si="29"/>
        <v>0</v>
      </c>
      <c r="AN145" s="99"/>
    </row>
    <row r="146" spans="16:44">
      <c r="Q146" s="96"/>
      <c r="R146" s="96"/>
      <c r="S146" s="96"/>
      <c r="T146" s="96"/>
      <c r="V146" s="96"/>
      <c r="AH146" s="99"/>
      <c r="AI146" s="113"/>
      <c r="AJ146" s="113"/>
      <c r="AK146" s="99"/>
      <c r="AL146" s="99">
        <f t="shared" si="31"/>
        <v>0</v>
      </c>
      <c r="AM146" s="117">
        <f t="shared" si="29"/>
        <v>0</v>
      </c>
      <c r="AN146" s="99"/>
      <c r="AR146" t="s">
        <v>25</v>
      </c>
    </row>
    <row r="147" spans="16:44">
      <c r="Q147" s="96"/>
      <c r="R147" s="96"/>
      <c r="S147" s="96"/>
      <c r="T147" s="99" t="s">
        <v>180</v>
      </c>
      <c r="U147" s="99" t="s">
        <v>4492</v>
      </c>
      <c r="V147" s="99" t="s">
        <v>4493</v>
      </c>
      <c r="W147" s="99" t="s">
        <v>4503</v>
      </c>
      <c r="X147" s="99" t="s">
        <v>8</v>
      </c>
      <c r="AH147" s="99"/>
      <c r="AI147" s="113"/>
      <c r="AJ147" s="113"/>
      <c r="AK147" s="99"/>
      <c r="AL147" s="99">
        <f t="shared" si="31"/>
        <v>0</v>
      </c>
      <c r="AM147" s="117">
        <f t="shared" si="29"/>
        <v>0</v>
      </c>
      <c r="AN147" s="99"/>
    </row>
    <row r="148" spans="16:44">
      <c r="Q148" s="36" t="s">
        <v>4587</v>
      </c>
      <c r="R148" s="95">
        <f>SUM(N46:N61)</f>
        <v>484478168.69999999</v>
      </c>
      <c r="T148" s="113" t="s">
        <v>4468</v>
      </c>
      <c r="U148" s="56">
        <v>1000000</v>
      </c>
      <c r="V148" s="113">
        <v>239.024</v>
      </c>
      <c r="W148" s="113">
        <f t="shared" ref="W148:W181" si="32">U148*V148</f>
        <v>239024000</v>
      </c>
      <c r="X148" s="99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9" t="s">
        <v>4459</v>
      </c>
      <c r="R149" s="95">
        <f>SUM(N21:N26)</f>
        <v>25425654.800000001</v>
      </c>
      <c r="T149" s="168" t="s">
        <v>4450</v>
      </c>
      <c r="U149" s="56">
        <v>5904</v>
      </c>
      <c r="V149" s="113">
        <v>237.148</v>
      </c>
      <c r="W149" s="113">
        <f t="shared" si="32"/>
        <v>1400121.7919999999</v>
      </c>
      <c r="X149" s="99" t="s">
        <v>751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P150" s="114"/>
      <c r="Q150" s="99" t="s">
        <v>4460</v>
      </c>
      <c r="R150" s="95">
        <f>SUM(N29:N33)</f>
        <v>3818335.5</v>
      </c>
      <c r="T150" s="168" t="s">
        <v>4232</v>
      </c>
      <c r="U150" s="168">
        <v>1000</v>
      </c>
      <c r="V150" s="113">
        <v>247.393</v>
      </c>
      <c r="W150" s="113">
        <f t="shared" si="32"/>
        <v>247393</v>
      </c>
      <c r="X150" s="99" t="s">
        <v>751</v>
      </c>
      <c r="AH150" s="99"/>
      <c r="AI150" s="99"/>
      <c r="AJ150" s="99"/>
      <c r="AK150" s="99"/>
      <c r="AL150" s="99"/>
      <c r="AM150" s="99"/>
      <c r="AN150" s="99"/>
    </row>
    <row r="151" spans="16:44">
      <c r="Q151" s="99" t="s">
        <v>4461</v>
      </c>
      <c r="R151" s="95">
        <f>N44</f>
        <v>357</v>
      </c>
      <c r="T151" s="168" t="s">
        <v>4505</v>
      </c>
      <c r="U151" s="168">
        <v>8071</v>
      </c>
      <c r="V151" s="113">
        <v>247.797</v>
      </c>
      <c r="W151" s="113">
        <f t="shared" si="32"/>
        <v>1999969.5870000001</v>
      </c>
      <c r="X151" s="99" t="s">
        <v>4457</v>
      </c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P152" s="114"/>
      <c r="Q152" s="99" t="s">
        <v>4462</v>
      </c>
      <c r="R152" s="95">
        <f>N20</f>
        <v>17964145</v>
      </c>
      <c r="T152" s="168" t="s">
        <v>4505</v>
      </c>
      <c r="U152" s="168">
        <v>53672</v>
      </c>
      <c r="V152" s="113">
        <v>247.797</v>
      </c>
      <c r="W152" s="113">
        <f t="shared" si="32"/>
        <v>13299760.584000001</v>
      </c>
      <c r="X152" s="99" t="s">
        <v>452</v>
      </c>
      <c r="AH152" s="99"/>
      <c r="AI152" s="99"/>
      <c r="AJ152" s="99"/>
      <c r="AK152" s="99"/>
      <c r="AL152" s="99"/>
      <c r="AM152" s="99"/>
      <c r="AN152" s="99"/>
    </row>
    <row r="153" spans="16:44">
      <c r="Q153" s="99" t="s">
        <v>4463</v>
      </c>
      <c r="R153" s="95">
        <f>N28</f>
        <v>1364</v>
      </c>
      <c r="T153" s="168" t="s">
        <v>4515</v>
      </c>
      <c r="U153" s="168">
        <v>4099</v>
      </c>
      <c r="V153" s="113">
        <v>243.93</v>
      </c>
      <c r="W153" s="113">
        <f t="shared" si="32"/>
        <v>999869.07000000007</v>
      </c>
      <c r="X153" s="99" t="s">
        <v>4457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P154" s="114"/>
      <c r="Q154" s="99" t="s">
        <v>4475</v>
      </c>
      <c r="R154" s="95">
        <v>785285</v>
      </c>
      <c r="T154" s="168" t="s">
        <v>4515</v>
      </c>
      <c r="U154" s="168">
        <v>9301</v>
      </c>
      <c r="V154" s="113">
        <v>243.93</v>
      </c>
      <c r="W154" s="113">
        <f t="shared" si="32"/>
        <v>2268792.9300000002</v>
      </c>
      <c r="X154" s="99" t="s">
        <v>452</v>
      </c>
      <c r="AI154" t="s">
        <v>4064</v>
      </c>
      <c r="AJ154" s="114">
        <f>SUM(N44:N61)</f>
        <v>484478525.69999999</v>
      </c>
    </row>
    <row r="155" spans="16:44">
      <c r="Q155" s="99" t="s">
        <v>4715</v>
      </c>
      <c r="R155" s="95">
        <v>0</v>
      </c>
      <c r="T155" s="168" t="s">
        <v>4522</v>
      </c>
      <c r="U155" s="168">
        <v>8334</v>
      </c>
      <c r="V155" s="113">
        <v>239.97</v>
      </c>
      <c r="W155" s="113">
        <f t="shared" si="32"/>
        <v>1999909.98</v>
      </c>
      <c r="X155" s="99" t="s">
        <v>4457</v>
      </c>
      <c r="AI155" t="s">
        <v>4136</v>
      </c>
      <c r="AJ155" s="114">
        <f>AJ154-AJ148</f>
        <v>-4847560.3000000119</v>
      </c>
      <c r="AM155" t="s">
        <v>25</v>
      </c>
    </row>
    <row r="156" spans="16:44">
      <c r="Q156" s="99" t="s">
        <v>4772</v>
      </c>
      <c r="R156" s="95">
        <v>500000</v>
      </c>
      <c r="T156" s="168" t="s">
        <v>4231</v>
      </c>
      <c r="U156" s="168">
        <v>29041</v>
      </c>
      <c r="V156" s="113">
        <v>233.45</v>
      </c>
      <c r="W156" s="113">
        <f t="shared" si="32"/>
        <v>6779621.4499999993</v>
      </c>
      <c r="X156" s="99" t="s">
        <v>751</v>
      </c>
      <c r="AI156" t="s">
        <v>943</v>
      </c>
      <c r="AJ156" s="114">
        <f>AN148</f>
        <v>28229716.69483871</v>
      </c>
    </row>
    <row r="157" spans="16:44">
      <c r="Q157" s="99" t="s">
        <v>4750</v>
      </c>
      <c r="R157" s="95">
        <v>-5534</v>
      </c>
      <c r="S157" s="115"/>
      <c r="T157" s="168" t="s">
        <v>994</v>
      </c>
      <c r="U157" s="168">
        <v>12337</v>
      </c>
      <c r="V157" s="113">
        <v>243.16300000000001</v>
      </c>
      <c r="W157" s="113">
        <f t="shared" si="32"/>
        <v>2999901.9310000003</v>
      </c>
      <c r="X157" s="99" t="s">
        <v>4457</v>
      </c>
      <c r="AI157" t="s">
        <v>4065</v>
      </c>
      <c r="AJ157" s="114">
        <f>AJ154-AJ153</f>
        <v>-33077276.994838715</v>
      </c>
      <c r="AN157" t="s">
        <v>25</v>
      </c>
    </row>
    <row r="158" spans="16:44">
      <c r="Q158" s="99" t="s">
        <v>4467</v>
      </c>
      <c r="R158" s="95">
        <f>SUM(R148:R157)</f>
        <v>532967776</v>
      </c>
      <c r="S158" s="122"/>
      <c r="T158" s="168" t="s">
        <v>4613</v>
      </c>
      <c r="U158" s="168">
        <v>-16118</v>
      </c>
      <c r="V158" s="113">
        <v>248.17</v>
      </c>
      <c r="W158" s="113">
        <f t="shared" si="32"/>
        <v>-4000004.0599999996</v>
      </c>
      <c r="X158" s="99" t="s">
        <v>751</v>
      </c>
      <c r="AM158" t="s">
        <v>25</v>
      </c>
    </row>
    <row r="159" spans="16:44">
      <c r="Q159" s="96"/>
      <c r="S159" s="115"/>
      <c r="T159" s="168" t="s">
        <v>4644</v>
      </c>
      <c r="U159" s="168">
        <v>101681</v>
      </c>
      <c r="V159" s="113">
        <v>246.5711</v>
      </c>
      <c r="W159" s="113">
        <f t="shared" si="32"/>
        <v>25071596.019099999</v>
      </c>
      <c r="X159" s="99" t="s">
        <v>452</v>
      </c>
      <c r="AJ159" t="s">
        <v>25</v>
      </c>
    </row>
    <row r="160" spans="16:44">
      <c r="Q160" s="96"/>
      <c r="R160" s="183"/>
      <c r="S160" s="115"/>
      <c r="T160" s="168" t="s">
        <v>4650</v>
      </c>
      <c r="U160" s="168">
        <v>66606</v>
      </c>
      <c r="V160" s="113">
        <v>251.131</v>
      </c>
      <c r="W160" s="113">
        <f t="shared" si="32"/>
        <v>16726831.386</v>
      </c>
      <c r="X160" s="99" t="s">
        <v>751</v>
      </c>
    </row>
    <row r="161" spans="17:40">
      <c r="Q161" s="96"/>
      <c r="R161" s="183"/>
      <c r="T161" s="168" t="s">
        <v>4658</v>
      </c>
      <c r="U161" s="168">
        <v>172025</v>
      </c>
      <c r="V161" s="113">
        <v>245.52809999999999</v>
      </c>
      <c r="W161" s="113">
        <f t="shared" si="32"/>
        <v>42236971.402499996</v>
      </c>
      <c r="X161" s="99" t="s">
        <v>452</v>
      </c>
    </row>
    <row r="162" spans="17:40">
      <c r="Q162" s="96"/>
      <c r="R162" s="115"/>
      <c r="T162" s="168" t="s">
        <v>4658</v>
      </c>
      <c r="U162" s="168">
        <v>189227</v>
      </c>
      <c r="V162" s="113">
        <v>245.52809999999999</v>
      </c>
      <c r="W162" s="113">
        <f t="shared" si="32"/>
        <v>46460545.778700002</v>
      </c>
      <c r="X162" s="99" t="s">
        <v>751</v>
      </c>
    </row>
    <row r="163" spans="17:40">
      <c r="T163" s="168" t="s">
        <v>4661</v>
      </c>
      <c r="U163" s="168">
        <v>79720</v>
      </c>
      <c r="V163" s="113">
        <v>246.6568</v>
      </c>
      <c r="W163" s="113">
        <f t="shared" si="32"/>
        <v>19663480.096000001</v>
      </c>
      <c r="X163" s="99" t="s">
        <v>452</v>
      </c>
    </row>
    <row r="164" spans="17:40">
      <c r="Q164" s="99" t="s">
        <v>4457</v>
      </c>
      <c r="R164" s="99"/>
      <c r="T164" s="168" t="s">
        <v>4661</v>
      </c>
      <c r="U164" s="168">
        <v>79720</v>
      </c>
      <c r="V164" s="113">
        <v>246.6568</v>
      </c>
      <c r="W164" s="113">
        <f t="shared" si="32"/>
        <v>19663480.096000001</v>
      </c>
      <c r="X164" s="99" t="s">
        <v>751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36" t="s">
        <v>180</v>
      </c>
      <c r="R165" s="99" t="s">
        <v>267</v>
      </c>
      <c r="T165" s="168" t="s">
        <v>4689</v>
      </c>
      <c r="U165" s="168">
        <v>17769</v>
      </c>
      <c r="V165" s="113">
        <v>246.17877999999999</v>
      </c>
      <c r="W165" s="113">
        <f t="shared" si="32"/>
        <v>4374350.7418200001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212</v>
      </c>
      <c r="AM165" s="99">
        <f>AJ165*AL165</f>
        <v>753833840</v>
      </c>
      <c r="AN165" s="99" t="s">
        <v>4316</v>
      </c>
    </row>
    <row r="166" spans="17:40">
      <c r="Q166" s="99" t="s">
        <v>4450</v>
      </c>
      <c r="R166" s="95">
        <v>3000000</v>
      </c>
      <c r="T166" s="168" t="s">
        <v>4689</v>
      </c>
      <c r="U166" s="168">
        <v>17769</v>
      </c>
      <c r="V166" s="113">
        <v>246.17877999999999</v>
      </c>
      <c r="W166" s="113">
        <f t="shared" si="32"/>
        <v>4374350.7418200001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3">AK166+AL167</f>
        <v>210</v>
      </c>
      <c r="AM166" s="99">
        <f t="shared" ref="AM166:AM194" si="34">AJ166*AL166</f>
        <v>361375770</v>
      </c>
      <c r="AN166" s="99" t="s">
        <v>4317</v>
      </c>
    </row>
    <row r="167" spans="17:40">
      <c r="Q167" s="99" t="s">
        <v>4505</v>
      </c>
      <c r="R167" s="95">
        <v>2000000</v>
      </c>
      <c r="T167" s="168" t="s">
        <v>4695</v>
      </c>
      <c r="U167" s="168">
        <v>12438</v>
      </c>
      <c r="V167" s="113">
        <v>241.20465999999999</v>
      </c>
      <c r="W167" s="113">
        <f t="shared" si="32"/>
        <v>3000103.5610799999</v>
      </c>
      <c r="X167" s="99" t="s">
        <v>4457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3"/>
        <v>159</v>
      </c>
      <c r="AM167" s="99">
        <f t="shared" si="34"/>
        <v>23850000</v>
      </c>
      <c r="AN167" s="99"/>
    </row>
    <row r="168" spans="17:40">
      <c r="Q168" s="99" t="s">
        <v>4515</v>
      </c>
      <c r="R168" s="95">
        <v>1000000</v>
      </c>
      <c r="T168" s="168" t="s">
        <v>4705</v>
      </c>
      <c r="U168" s="168">
        <v>27363</v>
      </c>
      <c r="V168" s="113">
        <v>239.3886</v>
      </c>
      <c r="W168" s="113">
        <f t="shared" si="32"/>
        <v>6550390.2617999995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3"/>
        <v>156</v>
      </c>
      <c r="AM168" s="99">
        <f t="shared" si="34"/>
        <v>-14820000</v>
      </c>
      <c r="AN168" s="99"/>
    </row>
    <row r="169" spans="17:40">
      <c r="Q169" s="99" t="s">
        <v>4522</v>
      </c>
      <c r="R169" s="95">
        <v>2000000</v>
      </c>
      <c r="T169" s="168" t="s">
        <v>4705</v>
      </c>
      <c r="U169" s="168">
        <v>27363</v>
      </c>
      <c r="V169" s="113">
        <v>239.3886</v>
      </c>
      <c r="W169" s="113">
        <f t="shared" si="32"/>
        <v>6550390.2617999995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3"/>
        <v>148</v>
      </c>
      <c r="AM169" s="99">
        <f t="shared" si="34"/>
        <v>466200000</v>
      </c>
      <c r="AN169" s="99"/>
    </row>
    <row r="170" spans="17:40">
      <c r="Q170" s="99" t="s">
        <v>994</v>
      </c>
      <c r="R170" s="95">
        <v>3000000</v>
      </c>
      <c r="T170" s="215" t="s">
        <v>4709</v>
      </c>
      <c r="U170" s="215">
        <v>27437</v>
      </c>
      <c r="V170" s="113">
        <v>242.4015</v>
      </c>
      <c r="W170" s="113">
        <f t="shared" si="32"/>
        <v>6650769.9555000002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3"/>
        <v>132</v>
      </c>
      <c r="AM170" s="99">
        <f t="shared" si="34"/>
        <v>-8580000</v>
      </c>
      <c r="AN170" s="99"/>
    </row>
    <row r="171" spans="17:40">
      <c r="Q171" s="99" t="s">
        <v>4695</v>
      </c>
      <c r="R171" s="95">
        <v>3000000</v>
      </c>
      <c r="T171" s="215" t="s">
        <v>4709</v>
      </c>
      <c r="U171" s="215">
        <v>29104</v>
      </c>
      <c r="V171" s="113">
        <v>242.4015</v>
      </c>
      <c r="W171" s="113">
        <f t="shared" si="32"/>
        <v>7054853.2560000001</v>
      </c>
      <c r="X171" s="99" t="s">
        <v>452</v>
      </c>
      <c r="AH171" s="99">
        <v>7</v>
      </c>
      <c r="AI171" s="99" t="s">
        <v>4318</v>
      </c>
      <c r="AJ171" s="117">
        <v>-95000</v>
      </c>
      <c r="AK171" s="99">
        <v>6</v>
      </c>
      <c r="AL171" s="99">
        <f t="shared" si="33"/>
        <v>131</v>
      </c>
      <c r="AM171" s="99">
        <f t="shared" si="34"/>
        <v>-12445000</v>
      </c>
      <c r="AN171" s="99"/>
    </row>
    <row r="172" spans="17:40">
      <c r="Q172" s="99"/>
      <c r="R172" s="95"/>
      <c r="T172" s="219" t="s">
        <v>4754</v>
      </c>
      <c r="U172" s="219">
        <v>8991</v>
      </c>
      <c r="V172" s="113">
        <v>238.64867000000001</v>
      </c>
      <c r="W172" s="113">
        <f t="shared" si="32"/>
        <v>2145690.19197</v>
      </c>
      <c r="X172" s="99" t="s">
        <v>751</v>
      </c>
      <c r="AH172" s="99">
        <v>8</v>
      </c>
      <c r="AI172" s="99" t="s">
        <v>4319</v>
      </c>
      <c r="AJ172" s="117">
        <v>232000</v>
      </c>
      <c r="AK172" s="99">
        <v>7</v>
      </c>
      <c r="AL172" s="99">
        <f t="shared" si="33"/>
        <v>125</v>
      </c>
      <c r="AM172" s="99">
        <f t="shared" si="34"/>
        <v>29000000</v>
      </c>
      <c r="AN172" s="99"/>
    </row>
    <row r="173" spans="17:40">
      <c r="Q173" s="99"/>
      <c r="R173" s="95"/>
      <c r="T173" s="219" t="s">
        <v>4754</v>
      </c>
      <c r="U173" s="219">
        <v>8991</v>
      </c>
      <c r="V173" s="113">
        <v>238.64867000000001</v>
      </c>
      <c r="W173" s="113">
        <f t="shared" si="32"/>
        <v>2145690.19197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3"/>
        <v>118</v>
      </c>
      <c r="AM173" s="99">
        <f t="shared" si="34"/>
        <v>1534000000</v>
      </c>
      <c r="AN173" s="99"/>
    </row>
    <row r="174" spans="17:40">
      <c r="Q174" s="99"/>
      <c r="R174" s="95">
        <f>SUM(R166:R171)</f>
        <v>14000000</v>
      </c>
      <c r="T174" s="219" t="s">
        <v>4771</v>
      </c>
      <c r="U174" s="219">
        <v>18170</v>
      </c>
      <c r="V174" s="113">
        <v>240.48475999999999</v>
      </c>
      <c r="W174" s="113">
        <f t="shared" si="32"/>
        <v>4369608.0892000003</v>
      </c>
      <c r="X174" s="99" t="s">
        <v>751</v>
      </c>
      <c r="AH174" s="99">
        <v>10</v>
      </c>
      <c r="AI174" s="99" t="s">
        <v>4320</v>
      </c>
      <c r="AJ174" s="117">
        <v>10000000</v>
      </c>
      <c r="AK174" s="99">
        <v>3</v>
      </c>
      <c r="AL174" s="99">
        <f t="shared" si="33"/>
        <v>116</v>
      </c>
      <c r="AM174" s="99">
        <f t="shared" si="34"/>
        <v>1160000000</v>
      </c>
      <c r="AN174" s="99"/>
    </row>
    <row r="175" spans="17:40">
      <c r="Q175" s="99"/>
      <c r="R175" s="99" t="s">
        <v>6</v>
      </c>
      <c r="S175" t="s">
        <v>25</v>
      </c>
      <c r="T175" s="219" t="s">
        <v>4771</v>
      </c>
      <c r="U175" s="219">
        <v>18170</v>
      </c>
      <c r="V175" s="113">
        <v>240.48475999999999</v>
      </c>
      <c r="W175" s="113">
        <f t="shared" si="32"/>
        <v>4369608.0892000003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3"/>
        <v>113</v>
      </c>
      <c r="AM175" s="99">
        <f t="shared" si="34"/>
        <v>384200000</v>
      </c>
      <c r="AN175" s="99"/>
    </row>
    <row r="176" spans="17:40">
      <c r="T176" s="219" t="s">
        <v>4776</v>
      </c>
      <c r="U176" s="219">
        <v>36797</v>
      </c>
      <c r="V176" s="113">
        <v>239.0822</v>
      </c>
      <c r="W176" s="113">
        <f t="shared" si="32"/>
        <v>8797507.7134000007</v>
      </c>
      <c r="X176" s="99" t="s">
        <v>751</v>
      </c>
      <c r="AH176" s="99">
        <v>12</v>
      </c>
      <c r="AI176" s="99" t="s">
        <v>4352</v>
      </c>
      <c r="AJ176" s="117">
        <v>-8736514</v>
      </c>
      <c r="AK176" s="99">
        <v>1</v>
      </c>
      <c r="AL176" s="99">
        <f>AK176+AL177</f>
        <v>104</v>
      </c>
      <c r="AM176" s="99">
        <f t="shared" si="34"/>
        <v>-908597456</v>
      </c>
      <c r="AN176" s="99"/>
    </row>
    <row r="177" spans="17:44">
      <c r="Q177" s="96"/>
      <c r="R177" s="96"/>
      <c r="T177" s="219" t="s">
        <v>4776</v>
      </c>
      <c r="U177" s="219">
        <v>36797</v>
      </c>
      <c r="V177" s="113">
        <v>239.0822</v>
      </c>
      <c r="W177" s="113">
        <f t="shared" si="32"/>
        <v>8797507.7134000007</v>
      </c>
      <c r="X177" s="99" t="s">
        <v>452</v>
      </c>
      <c r="AH177" s="99">
        <v>13</v>
      </c>
      <c r="AI177" s="99" t="s">
        <v>4353</v>
      </c>
      <c r="AJ177" s="117">
        <v>555000</v>
      </c>
      <c r="AK177" s="99">
        <v>5</v>
      </c>
      <c r="AL177" s="99">
        <f t="shared" ref="AL177:AL193" si="35">AK177+AL178</f>
        <v>103</v>
      </c>
      <c r="AM177" s="99">
        <f t="shared" si="34"/>
        <v>57165000</v>
      </c>
      <c r="AN177" s="99"/>
    </row>
    <row r="178" spans="17:44">
      <c r="Q178" s="96"/>
      <c r="R178" s="96"/>
      <c r="T178" s="219" t="s">
        <v>4794</v>
      </c>
      <c r="U178" s="219">
        <v>28066</v>
      </c>
      <c r="V178" s="113">
        <v>237.56970000000001</v>
      </c>
      <c r="W178" s="113">
        <f t="shared" si="32"/>
        <v>6667631.2002000008</v>
      </c>
      <c r="X178" s="99" t="s">
        <v>751</v>
      </c>
      <c r="AH178" s="99">
        <v>14</v>
      </c>
      <c r="AI178" s="99" t="s">
        <v>4377</v>
      </c>
      <c r="AJ178" s="117">
        <v>-448308</v>
      </c>
      <c r="AK178" s="99">
        <v>6</v>
      </c>
      <c r="AL178" s="99">
        <f t="shared" si="35"/>
        <v>98</v>
      </c>
      <c r="AM178" s="99">
        <f t="shared" si="34"/>
        <v>-43934184</v>
      </c>
      <c r="AN178" s="99"/>
    </row>
    <row r="179" spans="17:44">
      <c r="T179" s="219" t="s">
        <v>4794</v>
      </c>
      <c r="U179" s="219">
        <v>28066</v>
      </c>
      <c r="V179" s="113">
        <v>237.56970000000001</v>
      </c>
      <c r="W179" s="113">
        <f t="shared" si="32"/>
        <v>6667631.2002000008</v>
      </c>
      <c r="X179" s="99" t="s">
        <v>452</v>
      </c>
      <c r="AH179" s="99">
        <v>15</v>
      </c>
      <c r="AI179" s="99" t="s">
        <v>4409</v>
      </c>
      <c r="AJ179" s="117">
        <v>33225</v>
      </c>
      <c r="AK179" s="99">
        <v>0</v>
      </c>
      <c r="AL179" s="99">
        <f t="shared" si="35"/>
        <v>92</v>
      </c>
      <c r="AM179" s="99">
        <f t="shared" si="34"/>
        <v>3056700</v>
      </c>
      <c r="AN179" s="99"/>
    </row>
    <row r="180" spans="17:44">
      <c r="Q180" s="99" t="s">
        <v>751</v>
      </c>
      <c r="R180" s="99"/>
      <c r="T180" s="219" t="s">
        <v>3684</v>
      </c>
      <c r="U180" s="219">
        <v>37457</v>
      </c>
      <c r="V180" s="113">
        <v>239.77</v>
      </c>
      <c r="W180" s="113">
        <f t="shared" si="32"/>
        <v>8981064.8900000006</v>
      </c>
      <c r="X180" s="99" t="s">
        <v>751</v>
      </c>
      <c r="AH180" s="149">
        <v>16</v>
      </c>
      <c r="AI180" s="149" t="s">
        <v>4409</v>
      </c>
      <c r="AJ180" s="190">
        <v>4098523</v>
      </c>
      <c r="AK180" s="149">
        <v>2</v>
      </c>
      <c r="AL180" s="149">
        <f t="shared" si="35"/>
        <v>92</v>
      </c>
      <c r="AM180" s="149">
        <f t="shared" si="34"/>
        <v>377064116</v>
      </c>
      <c r="AN180" s="149" t="s">
        <v>657</v>
      </c>
      <c r="AR180" t="s">
        <v>25</v>
      </c>
    </row>
    <row r="181" spans="17:44">
      <c r="Q181" s="99" t="s">
        <v>4450</v>
      </c>
      <c r="R181" s="95">
        <v>172908000</v>
      </c>
      <c r="T181" s="219" t="s">
        <v>3684</v>
      </c>
      <c r="U181" s="219">
        <v>37457</v>
      </c>
      <c r="V181" s="113">
        <v>239.77</v>
      </c>
      <c r="W181" s="113">
        <f t="shared" si="32"/>
        <v>8981064.8900000006</v>
      </c>
      <c r="X181" s="99" t="s">
        <v>452</v>
      </c>
      <c r="AH181" s="149">
        <v>17</v>
      </c>
      <c r="AI181" s="149" t="s">
        <v>4423</v>
      </c>
      <c r="AJ181" s="190">
        <v>-1000000</v>
      </c>
      <c r="AK181" s="149">
        <v>7</v>
      </c>
      <c r="AL181" s="149">
        <f t="shared" si="35"/>
        <v>90</v>
      </c>
      <c r="AM181" s="149">
        <f t="shared" si="34"/>
        <v>-90000000</v>
      </c>
      <c r="AN181" s="149" t="s">
        <v>657</v>
      </c>
    </row>
    <row r="182" spans="17:44">
      <c r="Q182" s="99" t="s">
        <v>4491</v>
      </c>
      <c r="R182" s="95">
        <v>1400000</v>
      </c>
      <c r="T182" s="168"/>
      <c r="U182" s="168"/>
      <c r="V182" s="113"/>
      <c r="W182" s="113"/>
      <c r="X182" s="99"/>
      <c r="AH182" s="149">
        <v>18</v>
      </c>
      <c r="AI182" s="149" t="s">
        <v>4446</v>
      </c>
      <c r="AJ182" s="190">
        <v>750000</v>
      </c>
      <c r="AK182" s="149">
        <v>1</v>
      </c>
      <c r="AL182" s="149">
        <f t="shared" si="35"/>
        <v>83</v>
      </c>
      <c r="AM182" s="149">
        <f t="shared" si="34"/>
        <v>62250000</v>
      </c>
      <c r="AN182" s="149" t="s">
        <v>657</v>
      </c>
    </row>
    <row r="183" spans="17:44">
      <c r="Q183" s="99" t="s">
        <v>4232</v>
      </c>
      <c r="R183" s="95">
        <v>247393</v>
      </c>
      <c r="T183" s="168"/>
      <c r="U183" s="168"/>
      <c r="V183" s="113"/>
      <c r="W183" s="113"/>
      <c r="X183" s="99"/>
      <c r="AH183" s="197">
        <v>19</v>
      </c>
      <c r="AI183" s="197" t="s">
        <v>4448</v>
      </c>
      <c r="AJ183" s="198">
        <v>-604152</v>
      </c>
      <c r="AK183" s="197">
        <v>0</v>
      </c>
      <c r="AL183" s="197">
        <f t="shared" si="35"/>
        <v>82</v>
      </c>
      <c r="AM183" s="197">
        <f t="shared" si="34"/>
        <v>-49540464</v>
      </c>
      <c r="AN183" s="197" t="s">
        <v>657</v>
      </c>
    </row>
    <row r="184" spans="17:44">
      <c r="Q184" s="99" t="s">
        <v>4231</v>
      </c>
      <c r="R184" s="95">
        <v>6780000</v>
      </c>
      <c r="T184" s="168"/>
      <c r="U184" s="168">
        <f>SUM(U148:U183)</f>
        <v>2222825</v>
      </c>
      <c r="V184" s="99"/>
      <c r="W184" s="99"/>
      <c r="X184" s="99"/>
      <c r="AH184" s="99">
        <v>20</v>
      </c>
      <c r="AI184" s="99" t="s">
        <v>4449</v>
      </c>
      <c r="AJ184" s="117">
        <v>-587083</v>
      </c>
      <c r="AK184" s="99">
        <v>4</v>
      </c>
      <c r="AL184" s="99">
        <f t="shared" si="35"/>
        <v>82</v>
      </c>
      <c r="AM184" s="99">
        <f t="shared" si="34"/>
        <v>-48140806</v>
      </c>
      <c r="AN184" s="99"/>
    </row>
    <row r="185" spans="17:44">
      <c r="Q185" s="99" t="s">
        <v>4613</v>
      </c>
      <c r="R185" s="95">
        <v>-4000000</v>
      </c>
      <c r="T185" s="99"/>
      <c r="U185" s="99" t="s">
        <v>6</v>
      </c>
      <c r="V185" s="99"/>
      <c r="W185" s="99"/>
      <c r="X185" s="99"/>
      <c r="AH185" s="197">
        <v>21</v>
      </c>
      <c r="AI185" s="197" t="s">
        <v>4450</v>
      </c>
      <c r="AJ185" s="198">
        <v>-754351</v>
      </c>
      <c r="AK185" s="197">
        <v>0</v>
      </c>
      <c r="AL185" s="149">
        <f t="shared" si="35"/>
        <v>78</v>
      </c>
      <c r="AM185" s="197">
        <f t="shared" si="34"/>
        <v>-58839378</v>
      </c>
      <c r="AN185" s="197" t="s">
        <v>657</v>
      </c>
    </row>
    <row r="186" spans="17:44">
      <c r="Q186" s="99" t="s">
        <v>4650</v>
      </c>
      <c r="R186" s="95">
        <v>16727037</v>
      </c>
      <c r="T186" s="202" t="s">
        <v>4494</v>
      </c>
      <c r="AH186" s="99">
        <v>22</v>
      </c>
      <c r="AI186" s="99" t="s">
        <v>4450</v>
      </c>
      <c r="AJ186" s="117">
        <v>-189619</v>
      </c>
      <c r="AK186" s="99">
        <v>15</v>
      </c>
      <c r="AL186" s="99">
        <f t="shared" si="35"/>
        <v>78</v>
      </c>
      <c r="AM186" s="99">
        <f t="shared" si="34"/>
        <v>-14790282</v>
      </c>
      <c r="AN186" s="99"/>
    </row>
    <row r="187" spans="17:44">
      <c r="Q187" s="99" t="s">
        <v>4658</v>
      </c>
      <c r="R187" s="95">
        <v>46460683</v>
      </c>
      <c r="T187" s="201">
        <f>R158/U184</f>
        <v>239.77046146232834</v>
      </c>
      <c r="AH187" s="197">
        <v>23</v>
      </c>
      <c r="AI187" s="197" t="s">
        <v>4526</v>
      </c>
      <c r="AJ187" s="190">
        <v>7100</v>
      </c>
      <c r="AK187" s="197">
        <v>0</v>
      </c>
      <c r="AL187" s="149">
        <f t="shared" si="35"/>
        <v>63</v>
      </c>
      <c r="AM187" s="197">
        <f t="shared" si="34"/>
        <v>447300</v>
      </c>
      <c r="AN187" s="197" t="s">
        <v>657</v>
      </c>
    </row>
    <row r="188" spans="17:44">
      <c r="Q188" s="99" t="s">
        <v>4661</v>
      </c>
      <c r="R188" s="95">
        <v>19663646</v>
      </c>
      <c r="S188" t="s">
        <v>25</v>
      </c>
      <c r="W188" s="114"/>
      <c r="AH188" s="20">
        <v>24</v>
      </c>
      <c r="AI188" s="20" t="s">
        <v>4526</v>
      </c>
      <c r="AJ188" s="117">
        <v>-147902</v>
      </c>
      <c r="AK188" s="20">
        <v>3</v>
      </c>
      <c r="AL188" s="99">
        <f t="shared" si="35"/>
        <v>63</v>
      </c>
      <c r="AM188" s="20">
        <f t="shared" si="34"/>
        <v>-9317826</v>
      </c>
      <c r="AN188" s="20"/>
    </row>
    <row r="189" spans="17:44">
      <c r="Q189" s="99" t="s">
        <v>4689</v>
      </c>
      <c r="R189" s="95">
        <v>4374525</v>
      </c>
      <c r="U189" s="96" t="s">
        <v>267</v>
      </c>
      <c r="V189" t="s">
        <v>4495</v>
      </c>
      <c r="AH189" s="149">
        <v>25</v>
      </c>
      <c r="AI189" s="149" t="s">
        <v>4534</v>
      </c>
      <c r="AJ189" s="190">
        <v>-37200</v>
      </c>
      <c r="AK189" s="149">
        <v>4</v>
      </c>
      <c r="AL189" s="149">
        <f t="shared" si="35"/>
        <v>60</v>
      </c>
      <c r="AM189" s="197">
        <f t="shared" si="34"/>
        <v>-2232000</v>
      </c>
      <c r="AN189" s="149" t="s">
        <v>657</v>
      </c>
    </row>
    <row r="190" spans="17:44">
      <c r="Q190" s="99" t="s">
        <v>4705</v>
      </c>
      <c r="R190" s="95">
        <v>6550580</v>
      </c>
      <c r="T190" s="114"/>
      <c r="U190" s="113">
        <v>8981245</v>
      </c>
      <c r="V190">
        <f>U190/T187</f>
        <v>37457.679087009194</v>
      </c>
      <c r="X190" t="s">
        <v>25</v>
      </c>
      <c r="AH190" s="99">
        <v>26</v>
      </c>
      <c r="AI190" s="99" t="s">
        <v>4567</v>
      </c>
      <c r="AJ190" s="117">
        <v>-372326</v>
      </c>
      <c r="AK190" s="99">
        <v>21</v>
      </c>
      <c r="AL190" s="99">
        <f t="shared" si="35"/>
        <v>56</v>
      </c>
      <c r="AM190" s="20">
        <f t="shared" si="34"/>
        <v>-20850256</v>
      </c>
      <c r="AN190" s="99"/>
    </row>
    <row r="191" spans="17:44">
      <c r="Q191" s="99" t="s">
        <v>4709</v>
      </c>
      <c r="R191" s="95">
        <v>6650895</v>
      </c>
      <c r="X191" t="s">
        <v>25</v>
      </c>
      <c r="Y191" t="s">
        <v>25</v>
      </c>
      <c r="AH191" s="99">
        <v>27</v>
      </c>
      <c r="AI191" s="99" t="s">
        <v>4629</v>
      </c>
      <c r="AJ191" s="117">
        <v>235062</v>
      </c>
      <c r="AK191" s="99">
        <v>0</v>
      </c>
      <c r="AL191" s="99">
        <f t="shared" si="35"/>
        <v>35</v>
      </c>
      <c r="AM191" s="20">
        <f t="shared" si="34"/>
        <v>8227170</v>
      </c>
      <c r="AN191" s="99"/>
    </row>
    <row r="192" spans="17:44">
      <c r="Q192" s="99" t="s">
        <v>4754</v>
      </c>
      <c r="R192" s="95">
        <v>2145814</v>
      </c>
      <c r="S192" t="s">
        <v>25</v>
      </c>
      <c r="W192" s="96">
        <v>17962491</v>
      </c>
      <c r="X192" s="96">
        <f>W192/2</f>
        <v>8981245.5</v>
      </c>
      <c r="Y192" s="96">
        <f>W192/4</f>
        <v>4490622.75</v>
      </c>
      <c r="AH192" s="149">
        <v>28</v>
      </c>
      <c r="AI192" s="149" t="s">
        <v>4629</v>
      </c>
      <c r="AJ192" s="190">
        <v>235062</v>
      </c>
      <c r="AK192" s="149">
        <v>9</v>
      </c>
      <c r="AL192" s="99">
        <f t="shared" si="35"/>
        <v>35</v>
      </c>
      <c r="AM192" s="149">
        <f t="shared" si="34"/>
        <v>8227170</v>
      </c>
      <c r="AN192" s="149" t="s">
        <v>657</v>
      </c>
    </row>
    <row r="193" spans="17:44">
      <c r="Q193" s="99" t="s">
        <v>4771</v>
      </c>
      <c r="R193" s="95">
        <v>4369730</v>
      </c>
      <c r="AH193" s="149">
        <v>29</v>
      </c>
      <c r="AI193" s="149" t="s">
        <v>4661</v>
      </c>
      <c r="AJ193" s="190">
        <v>450000</v>
      </c>
      <c r="AK193" s="149">
        <v>0</v>
      </c>
      <c r="AL193" s="99">
        <f t="shared" si="35"/>
        <v>26</v>
      </c>
      <c r="AM193" s="149">
        <f t="shared" si="34"/>
        <v>11700000</v>
      </c>
      <c r="AN193" s="149" t="s">
        <v>657</v>
      </c>
    </row>
    <row r="194" spans="17:44">
      <c r="Q194" s="99" t="s">
        <v>4776</v>
      </c>
      <c r="R194" s="95">
        <v>8739459</v>
      </c>
      <c r="W194" s="96" t="s">
        <v>25</v>
      </c>
      <c r="AH194" s="20">
        <v>30</v>
      </c>
      <c r="AI194" s="20" t="s">
        <v>4661</v>
      </c>
      <c r="AJ194" s="117">
        <v>450000</v>
      </c>
      <c r="AK194" s="20">
        <v>22</v>
      </c>
      <c r="AL194" s="99">
        <f>AK194+AL195</f>
        <v>26</v>
      </c>
      <c r="AM194" s="20">
        <f t="shared" si="34"/>
        <v>11700000</v>
      </c>
      <c r="AN194" s="20"/>
    </row>
    <row r="195" spans="17:44" ht="60">
      <c r="Q195" s="99" t="s">
        <v>4794</v>
      </c>
      <c r="R195" s="95">
        <v>6667654</v>
      </c>
      <c r="T195" s="22" t="s">
        <v>4478</v>
      </c>
      <c r="AH195" s="149">
        <v>31</v>
      </c>
      <c r="AI195" s="149" t="s">
        <v>4776</v>
      </c>
      <c r="AJ195" s="190">
        <v>300000</v>
      </c>
      <c r="AK195" s="149">
        <v>0</v>
      </c>
      <c r="AL195" s="149">
        <f t="shared" ref="AL195:AL200" si="36">AK195+AL196</f>
        <v>4</v>
      </c>
      <c r="AM195" s="149">
        <f t="shared" ref="AM195:AM200" si="37">AJ195*AL195</f>
        <v>1200000</v>
      </c>
      <c r="AN195" s="149"/>
    </row>
    <row r="196" spans="17:44" ht="45">
      <c r="Q196" s="99" t="s">
        <v>4811</v>
      </c>
      <c r="R196" s="95">
        <v>8981245</v>
      </c>
      <c r="T196" s="22" t="s">
        <v>4479</v>
      </c>
      <c r="AH196" s="121">
        <v>32</v>
      </c>
      <c r="AI196" s="121" t="s">
        <v>4776</v>
      </c>
      <c r="AJ196" s="79">
        <v>288936</v>
      </c>
      <c r="AK196" s="121">
        <v>3</v>
      </c>
      <c r="AL196" s="121">
        <f t="shared" si="36"/>
        <v>4</v>
      </c>
      <c r="AM196" s="121">
        <f t="shared" si="37"/>
        <v>1155744</v>
      </c>
      <c r="AN196" s="210" t="s">
        <v>4796</v>
      </c>
    </row>
    <row r="197" spans="17:44">
      <c r="Q197" s="99"/>
      <c r="R197" s="95"/>
      <c r="AH197" s="121">
        <v>33</v>
      </c>
      <c r="AI197" s="121" t="s">
        <v>4794</v>
      </c>
      <c r="AJ197" s="79">
        <v>17962491</v>
      </c>
      <c r="AK197" s="121">
        <v>1</v>
      </c>
      <c r="AL197" s="121">
        <f t="shared" si="36"/>
        <v>1</v>
      </c>
      <c r="AM197" s="121">
        <f t="shared" si="37"/>
        <v>17962491</v>
      </c>
      <c r="AN197" s="121" t="s">
        <v>4809</v>
      </c>
      <c r="AQ197" t="s">
        <v>25</v>
      </c>
    </row>
    <row r="198" spans="17:44">
      <c r="Q198" s="99"/>
      <c r="R198" s="95"/>
      <c r="AH198" s="20"/>
      <c r="AI198" s="20"/>
      <c r="AJ198" s="117"/>
      <c r="AK198" s="20"/>
      <c r="AL198" s="99">
        <f t="shared" si="36"/>
        <v>0</v>
      </c>
      <c r="AM198" s="20">
        <f t="shared" si="37"/>
        <v>0</v>
      </c>
      <c r="AN198" s="20"/>
    </row>
    <row r="199" spans="17:44">
      <c r="Q199" s="99"/>
      <c r="R199" s="95">
        <f>SUM(R181:R196)</f>
        <v>308666661</v>
      </c>
      <c r="T199" s="99" t="s">
        <v>4496</v>
      </c>
      <c r="U199" s="99" t="s">
        <v>4467</v>
      </c>
      <c r="V199" s="99" t="s">
        <v>953</v>
      </c>
      <c r="AH199" s="99"/>
      <c r="AI199" s="99"/>
      <c r="AJ199" s="117"/>
      <c r="AK199" s="99"/>
      <c r="AL199" s="99">
        <f t="shared" si="36"/>
        <v>0</v>
      </c>
      <c r="AM199" s="20">
        <f t="shared" si="37"/>
        <v>0</v>
      </c>
      <c r="AN199" s="99"/>
    </row>
    <row r="200" spans="17:44">
      <c r="Q200" s="99"/>
      <c r="R200" s="99" t="s">
        <v>6</v>
      </c>
      <c r="T200" s="95">
        <f>R174+R199+R220</f>
        <v>537206805</v>
      </c>
      <c r="U200" s="95">
        <f>R158</f>
        <v>532967776</v>
      </c>
      <c r="V200" s="95">
        <f>U200-T200</f>
        <v>-4239029</v>
      </c>
      <c r="AH200" s="99"/>
      <c r="AI200" s="99"/>
      <c r="AJ200" s="117"/>
      <c r="AK200" s="99"/>
      <c r="AL200" s="99">
        <f t="shared" si="36"/>
        <v>0</v>
      </c>
      <c r="AM200" s="99">
        <f t="shared" si="37"/>
        <v>0</v>
      </c>
      <c r="AN200" s="99"/>
      <c r="AR200" t="s">
        <v>25</v>
      </c>
    </row>
    <row r="201" spans="17:44">
      <c r="AH201" s="99"/>
      <c r="AI201" s="99"/>
      <c r="AJ201" s="95">
        <f>SUM(AJ165:AJ200)</f>
        <v>47441601</v>
      </c>
      <c r="AK201" s="99"/>
      <c r="AL201" s="99"/>
      <c r="AM201" s="99">
        <f>SUM(AM165:AM200)</f>
        <v>3990527649</v>
      </c>
      <c r="AN201" s="95">
        <f>AM201*AN151/31</f>
        <v>2574533.9670967744</v>
      </c>
    </row>
    <row r="202" spans="17:44">
      <c r="AJ202" t="s">
        <v>4059</v>
      </c>
      <c r="AM202" t="s">
        <v>284</v>
      </c>
      <c r="AN202" t="s">
        <v>943</v>
      </c>
    </row>
    <row r="203" spans="17:44">
      <c r="Q203" s="99" t="s">
        <v>452</v>
      </c>
      <c r="R203" s="99"/>
    </row>
    <row r="204" spans="17:44">
      <c r="Q204" s="99" t="s">
        <v>4450</v>
      </c>
      <c r="R204" s="95">
        <v>63115000</v>
      </c>
      <c r="S204" t="s">
        <v>25</v>
      </c>
      <c r="AI204" t="s">
        <v>4061</v>
      </c>
      <c r="AJ204" s="114">
        <f>AJ201+AN201</f>
        <v>50016134.967096776</v>
      </c>
    </row>
    <row r="205" spans="17:44">
      <c r="Q205" s="99" t="s">
        <v>4505</v>
      </c>
      <c r="R205" s="95">
        <v>13300000</v>
      </c>
      <c r="AI205" t="s">
        <v>4064</v>
      </c>
      <c r="AJ205" s="114">
        <f>SUM(N20:N33)</f>
        <v>47209499.299999997</v>
      </c>
    </row>
    <row r="206" spans="17:44">
      <c r="Q206" s="99" t="s">
        <v>4515</v>
      </c>
      <c r="R206" s="95">
        <v>2269000</v>
      </c>
      <c r="T206" t="s">
        <v>25</v>
      </c>
      <c r="AI206" t="s">
        <v>4136</v>
      </c>
      <c r="AJ206" s="114">
        <f>AJ205-AJ201</f>
        <v>-232101.70000000298</v>
      </c>
    </row>
    <row r="207" spans="17:44">
      <c r="Q207" s="99" t="s">
        <v>4644</v>
      </c>
      <c r="R207" s="95">
        <v>25071612</v>
      </c>
      <c r="AI207" t="s">
        <v>943</v>
      </c>
      <c r="AJ207" s="114">
        <f>AN201</f>
        <v>2574533.9670967744</v>
      </c>
    </row>
    <row r="208" spans="17:44">
      <c r="Q208" s="99" t="s">
        <v>4658</v>
      </c>
      <c r="R208" s="95">
        <v>42236984</v>
      </c>
      <c r="T208" t="s">
        <v>25</v>
      </c>
      <c r="AI208" t="s">
        <v>4065</v>
      </c>
      <c r="AJ208" s="114">
        <f>AJ206-AJ207</f>
        <v>-2806635.6670967774</v>
      </c>
      <c r="AN208" t="s">
        <v>25</v>
      </c>
    </row>
    <row r="209" spans="17:40">
      <c r="Q209" s="99" t="s">
        <v>4661</v>
      </c>
      <c r="R209" s="95">
        <v>19663646</v>
      </c>
      <c r="AN209" t="s">
        <v>25</v>
      </c>
    </row>
    <row r="210" spans="17:40">
      <c r="Q210" s="99" t="s">
        <v>4689</v>
      </c>
      <c r="R210" s="95">
        <v>4374525</v>
      </c>
    </row>
    <row r="211" spans="17:40">
      <c r="Q211" s="99" t="s">
        <v>4705</v>
      </c>
      <c r="R211" s="95">
        <v>6550580</v>
      </c>
    </row>
    <row r="212" spans="17:40">
      <c r="Q212" s="99" t="s">
        <v>4709</v>
      </c>
      <c r="R212" s="95">
        <v>7054895</v>
      </c>
      <c r="T212" t="s">
        <v>25</v>
      </c>
    </row>
    <row r="213" spans="17:40">
      <c r="Q213" s="99" t="s">
        <v>4754</v>
      </c>
      <c r="R213" s="95">
        <v>2145814</v>
      </c>
    </row>
    <row r="214" spans="17:40">
      <c r="Q214" s="99" t="s">
        <v>4771</v>
      </c>
      <c r="R214" s="95">
        <v>4369730</v>
      </c>
    </row>
    <row r="215" spans="17:40">
      <c r="Q215" s="99" t="s">
        <v>4776</v>
      </c>
      <c r="R215" s="95">
        <v>8739459</v>
      </c>
    </row>
    <row r="216" spans="17:40">
      <c r="Q216" s="99" t="s">
        <v>4794</v>
      </c>
      <c r="R216" s="95">
        <v>6667654</v>
      </c>
      <c r="T216" t="s">
        <v>25</v>
      </c>
    </row>
    <row r="217" spans="17:40">
      <c r="Q217" s="99" t="s">
        <v>3684</v>
      </c>
      <c r="R217" s="95">
        <v>8981245</v>
      </c>
    </row>
    <row r="218" spans="17:40">
      <c r="Q218" s="99"/>
      <c r="R218" s="95"/>
    </row>
    <row r="219" spans="17:40">
      <c r="Q219" s="99"/>
      <c r="R219" s="95"/>
    </row>
    <row r="220" spans="17:40">
      <c r="Q220" s="99"/>
      <c r="R220" s="95">
        <f>SUM(R204:R217)</f>
        <v>214540144</v>
      </c>
      <c r="T220" t="s">
        <v>25</v>
      </c>
    </row>
    <row r="221" spans="17:40">
      <c r="Q221" s="99"/>
      <c r="R221" s="99" t="s">
        <v>6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35 S81 S87 S90:S92 S95 S101:S102 S109 S97 S114 S116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"/>
  <sheetViews>
    <sheetView tabSelected="1" topLeftCell="A34" workbookViewId="0">
      <selection activeCell="L27" sqref="L2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4441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4493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4553</v>
      </c>
      <c r="Y1" s="168" t="s">
        <v>950</v>
      </c>
      <c r="Z1" s="168" t="s">
        <v>937</v>
      </c>
      <c r="AA1" s="168" t="s">
        <v>4553</v>
      </c>
      <c r="AB1" s="168" t="s">
        <v>950</v>
      </c>
      <c r="AC1" s="168" t="s">
        <v>937</v>
      </c>
      <c r="AD1" s="168" t="s">
        <v>4668</v>
      </c>
      <c r="AE1" s="168" t="s">
        <v>4669</v>
      </c>
    </row>
    <row r="2" spans="1:31">
      <c r="A2" s="99" t="s">
        <v>4243</v>
      </c>
      <c r="B2" s="205">
        <v>1707</v>
      </c>
      <c r="C2" s="207" t="s">
        <v>4632</v>
      </c>
      <c r="D2" s="99" t="s">
        <v>4509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4543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4604</v>
      </c>
      <c r="B3" s="205">
        <v>1184</v>
      </c>
      <c r="C3" s="207" t="s">
        <v>4610</v>
      </c>
      <c r="D3" s="99"/>
      <c r="J3" s="168">
        <v>2</v>
      </c>
      <c r="K3" s="168" t="s">
        <v>4505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4542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7" si="2">AB3/Y3</f>
        <v>0.57449014863463521</v>
      </c>
    </row>
    <row r="4" spans="1:31">
      <c r="A4" s="99" t="s">
        <v>4605</v>
      </c>
      <c r="B4" s="205">
        <v>1804</v>
      </c>
      <c r="C4" s="207" t="s">
        <v>4611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4544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226">
        <v>4</v>
      </c>
      <c r="K5" s="226" t="s">
        <v>4639</v>
      </c>
      <c r="L5" s="227">
        <v>0</v>
      </c>
      <c r="M5" s="226">
        <v>3</v>
      </c>
      <c r="N5" s="227">
        <f t="shared" ref="N5" si="3">L5*M5</f>
        <v>0</v>
      </c>
      <c r="O5" s="228" t="s">
        <v>4643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4509</v>
      </c>
      <c r="F6" t="s">
        <v>25</v>
      </c>
      <c r="G6" s="96"/>
      <c r="H6" s="96"/>
      <c r="I6" s="96"/>
      <c r="J6" s="168">
        <v>5</v>
      </c>
      <c r="K6" s="168" t="s">
        <v>4644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4650</v>
      </c>
      <c r="X6" s="168" t="s">
        <v>1086</v>
      </c>
      <c r="Y6" s="113">
        <v>4183832</v>
      </c>
      <c r="Z6" s="168">
        <f>AB6*AC6/Y6</f>
        <v>2.132843288162622</v>
      </c>
      <c r="AA6" s="193" t="s">
        <v>4396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4578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4650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4650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4652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4550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4650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4653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4598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4650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4549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4415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4658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4396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4658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4400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4569</v>
      </c>
      <c r="B12" s="205">
        <v>21324</v>
      </c>
      <c r="C12" s="169"/>
      <c r="D12" s="59" t="s">
        <v>4789</v>
      </c>
      <c r="F12" s="114">
        <v>0</v>
      </c>
      <c r="G12" t="s">
        <v>25</v>
      </c>
      <c r="J12" s="168">
        <v>11</v>
      </c>
      <c r="K12" s="168" t="s">
        <v>4689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4661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4400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4689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4661</v>
      </c>
      <c r="X13" s="168" t="s">
        <v>1086</v>
      </c>
      <c r="Y13" s="113">
        <v>4223698</v>
      </c>
      <c r="Z13" s="168">
        <f t="shared" si="4"/>
        <v>9.4380816762940896</v>
      </c>
      <c r="AA13" s="229" t="s">
        <v>4415</v>
      </c>
      <c r="AB13" s="113">
        <v>498.9</v>
      </c>
      <c r="AC13" s="168">
        <v>79903</v>
      </c>
      <c r="AD13" s="22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4705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4677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4634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21324</v>
      </c>
      <c r="J15" s="168">
        <v>14</v>
      </c>
      <c r="K15" s="168" t="s">
        <v>4705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4677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4400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4709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4400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4709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4709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4396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4497</v>
      </c>
      <c r="J18" s="219">
        <v>17</v>
      </c>
      <c r="K18" s="219" t="s">
        <v>4754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4709</v>
      </c>
      <c r="X18" s="217" t="s">
        <v>1086</v>
      </c>
      <c r="Y18" s="113">
        <v>4367053</v>
      </c>
      <c r="Z18" s="217">
        <f t="shared" si="4"/>
        <v>0.12751793944337292</v>
      </c>
      <c r="AA18" s="229" t="s">
        <v>4415</v>
      </c>
      <c r="AB18" s="117">
        <v>508.1</v>
      </c>
      <c r="AC18" s="19">
        <v>1096</v>
      </c>
      <c r="AD18" s="22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4504</v>
      </c>
      <c r="J19" s="219">
        <v>18</v>
      </c>
      <c r="K19" s="219" t="s">
        <v>4754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4738</v>
      </c>
      <c r="X19" s="168" t="s">
        <v>1086</v>
      </c>
      <c r="Y19" s="113">
        <v>4433930</v>
      </c>
      <c r="Z19" s="168">
        <f t="shared" si="4"/>
        <v>2.9409688470499082</v>
      </c>
      <c r="AA19" s="199" t="s">
        <v>4396</v>
      </c>
      <c r="AB19" s="117">
        <v>3180.5</v>
      </c>
      <c r="AC19" s="19">
        <v>4100</v>
      </c>
      <c r="AD19" s="199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4510</v>
      </c>
      <c r="B20" s="206"/>
      <c r="C20" s="169">
        <v>3894000</v>
      </c>
      <c r="D20" s="99" t="s">
        <v>4505</v>
      </c>
      <c r="J20" s="219">
        <v>19</v>
      </c>
      <c r="K20" s="219" t="s">
        <v>4771</v>
      </c>
      <c r="L20" s="169">
        <v>4369730</v>
      </c>
      <c r="M20" s="219">
        <v>1</v>
      </c>
      <c r="N20" s="113">
        <f t="shared" ref="N20:N28" si="7">L20*M20</f>
        <v>4369730</v>
      </c>
      <c r="O20" s="99" t="s">
        <v>751</v>
      </c>
      <c r="W20" s="168" t="s">
        <v>4738</v>
      </c>
      <c r="X20" s="168" t="s">
        <v>1086</v>
      </c>
      <c r="Y20" s="113">
        <v>4433930</v>
      </c>
      <c r="Z20" s="168">
        <f t="shared" si="4"/>
        <v>0.13984559972755545</v>
      </c>
      <c r="AA20" s="229" t="s">
        <v>4415</v>
      </c>
      <c r="AB20" s="117">
        <v>503.3</v>
      </c>
      <c r="AC20" s="19">
        <v>1232</v>
      </c>
      <c r="AD20" s="229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4505</v>
      </c>
      <c r="J21" s="219">
        <v>20</v>
      </c>
      <c r="K21" s="219" t="s">
        <v>4771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168" t="s">
        <v>4747</v>
      </c>
      <c r="X21" s="168" t="s">
        <v>1086</v>
      </c>
      <c r="Y21" s="113">
        <v>4183832</v>
      </c>
      <c r="Z21" s="219">
        <v>0.24415416297786335</v>
      </c>
      <c r="AA21" s="229" t="s">
        <v>4415</v>
      </c>
      <c r="AB21" s="117">
        <v>501.2</v>
      </c>
      <c r="AC21" s="19">
        <f>Y21*Z21/AB21</f>
        <v>2038.1085395051875</v>
      </c>
      <c r="AD21" s="229">
        <f t="shared" ref="AD21:AD27" si="8"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4505</v>
      </c>
      <c r="J22" s="168">
        <v>21</v>
      </c>
      <c r="K22" s="168" t="s">
        <v>4773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4754</v>
      </c>
      <c r="X22" s="219" t="s">
        <v>1086</v>
      </c>
      <c r="Y22" s="113">
        <v>4183832</v>
      </c>
      <c r="Z22" s="219">
        <v>0.23385260211213069</v>
      </c>
      <c r="AA22" s="229" t="s">
        <v>4415</v>
      </c>
      <c r="AB22" s="117">
        <v>481.7</v>
      </c>
      <c r="AC22" s="19">
        <f>Y22*Z22/AB22</f>
        <v>2031.1397135146358</v>
      </c>
      <c r="AD22" s="229">
        <f t="shared" si="8"/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4505</v>
      </c>
      <c r="J23" s="219">
        <v>22</v>
      </c>
      <c r="K23" s="219" t="s">
        <v>4773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219" t="s">
        <v>4757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4396</v>
      </c>
      <c r="AB23" s="117">
        <v>3115.9</v>
      </c>
      <c r="AC23" s="19">
        <v>1305</v>
      </c>
      <c r="AD23" s="199">
        <f t="shared" si="8"/>
        <v>1377.3317500561634</v>
      </c>
      <c r="AE23" s="219">
        <f t="shared" si="2"/>
        <v>7.2604149287869312E-4</v>
      </c>
    </row>
    <row r="24" spans="1:31">
      <c r="A24" s="99" t="s">
        <v>4512</v>
      </c>
      <c r="B24" s="205">
        <v>4020000</v>
      </c>
      <c r="C24" s="169">
        <v>30000</v>
      </c>
      <c r="D24" s="99" t="s">
        <v>4509</v>
      </c>
      <c r="J24" s="226">
        <v>23</v>
      </c>
      <c r="K24" s="226" t="s">
        <v>4773</v>
      </c>
      <c r="L24" s="227">
        <v>4388600</v>
      </c>
      <c r="M24" s="226">
        <v>5</v>
      </c>
      <c r="N24" s="227">
        <f t="shared" si="7"/>
        <v>21943000</v>
      </c>
      <c r="O24" s="228" t="s">
        <v>4795</v>
      </c>
      <c r="W24" s="168" t="s">
        <v>4757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4605</v>
      </c>
      <c r="AB24" s="117">
        <v>178.1</v>
      </c>
      <c r="AC24" s="19">
        <v>1148</v>
      </c>
      <c r="AD24" s="19">
        <f t="shared" si="8"/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4511</v>
      </c>
      <c r="J25" s="219">
        <v>24</v>
      </c>
      <c r="K25" s="219" t="s">
        <v>4776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4773</v>
      </c>
      <c r="X25" s="219" t="s">
        <v>1086</v>
      </c>
      <c r="Y25" s="113">
        <v>4369730</v>
      </c>
      <c r="Z25" s="219">
        <f>AB25*AC25/Y25</f>
        <v>1.9131203758584627</v>
      </c>
      <c r="AA25" s="199" t="s">
        <v>4396</v>
      </c>
      <c r="AB25" s="117">
        <v>3120.5</v>
      </c>
      <c r="AC25" s="19">
        <v>2679</v>
      </c>
      <c r="AD25" s="199">
        <f t="shared" si="8"/>
        <v>1400.3300753084441</v>
      </c>
      <c r="AE25" s="219">
        <f t="shared" si="2"/>
        <v>7.1411734821144558E-4</v>
      </c>
    </row>
    <row r="26" spans="1:31">
      <c r="A26" s="99"/>
      <c r="B26" s="205">
        <v>3821000</v>
      </c>
      <c r="C26" s="169"/>
      <c r="D26" s="99" t="s">
        <v>4515</v>
      </c>
      <c r="J26" s="219">
        <v>25</v>
      </c>
      <c r="K26" s="219" t="s">
        <v>4776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W26" s="219" t="s">
        <v>4776</v>
      </c>
      <c r="X26" s="219" t="s">
        <v>1086</v>
      </c>
      <c r="Y26" s="113">
        <v>4398820</v>
      </c>
      <c r="Z26" s="219">
        <f>AB26*AC26/Y26</f>
        <v>3.9898935623644527</v>
      </c>
      <c r="AA26" s="194" t="s">
        <v>4396</v>
      </c>
      <c r="AB26" s="117">
        <v>3112.4</v>
      </c>
      <c r="AC26" s="19">
        <v>5639</v>
      </c>
      <c r="AD26" s="194">
        <f t="shared" si="8"/>
        <v>1413.3209099087521</v>
      </c>
      <c r="AE26" s="219">
        <f t="shared" si="2"/>
        <v>7.0755338931804436E-4</v>
      </c>
    </row>
    <row r="27" spans="1:31">
      <c r="A27" s="99"/>
      <c r="B27" s="205"/>
      <c r="C27" s="169"/>
      <c r="D27" s="99" t="s">
        <v>4523</v>
      </c>
      <c r="J27" s="219">
        <v>26</v>
      </c>
      <c r="K27" s="219" t="s">
        <v>4794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4794</v>
      </c>
      <c r="X27" s="219" t="s">
        <v>1086</v>
      </c>
      <c r="Y27" s="113">
        <v>4445103</v>
      </c>
      <c r="Z27" s="219">
        <f>AB27*AC27/Y27</f>
        <v>2.9768354074135064</v>
      </c>
      <c r="AA27" s="213" t="s">
        <v>4415</v>
      </c>
      <c r="AB27" s="117">
        <v>489</v>
      </c>
      <c r="AC27" s="19">
        <v>27060</v>
      </c>
      <c r="AD27" s="213">
        <f t="shared" si="8"/>
        <v>9090.1901840490791</v>
      </c>
      <c r="AE27" s="219">
        <f t="shared" si="2"/>
        <v>1.1000869946095737E-4</v>
      </c>
    </row>
    <row r="28" spans="1:31">
      <c r="A28" s="99" t="s">
        <v>4545</v>
      </c>
      <c r="B28" s="205"/>
      <c r="C28" s="169">
        <v>3421299</v>
      </c>
      <c r="D28" s="99" t="s">
        <v>4231</v>
      </c>
      <c r="J28" s="219">
        <v>27</v>
      </c>
      <c r="K28" s="219" t="s">
        <v>4794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/>
      <c r="X28" s="219"/>
      <c r="Y28" s="113"/>
      <c r="Z28" s="219"/>
      <c r="AA28" s="19"/>
      <c r="AB28" s="117"/>
      <c r="AC28" s="19"/>
      <c r="AD28" s="19"/>
      <c r="AE28" s="219"/>
    </row>
    <row r="29" spans="1:31">
      <c r="A29" s="99" t="s">
        <v>4574</v>
      </c>
      <c r="B29" s="205"/>
      <c r="C29" s="169">
        <v>3490000</v>
      </c>
      <c r="D29" s="99" t="s">
        <v>4231</v>
      </c>
      <c r="J29" s="219"/>
      <c r="K29" s="219"/>
      <c r="L29" s="113"/>
      <c r="M29" s="219"/>
      <c r="N29" s="113"/>
      <c r="O29" s="99"/>
      <c r="W29" s="219"/>
      <c r="X29" s="219"/>
      <c r="Y29" s="113"/>
      <c r="Z29" s="219"/>
      <c r="AA29" s="19"/>
      <c r="AB29" s="117"/>
      <c r="AC29" s="19"/>
      <c r="AD29" s="19"/>
      <c r="AE29" s="219"/>
    </row>
    <row r="30" spans="1:31">
      <c r="A30" s="99" t="s">
        <v>4575</v>
      </c>
      <c r="B30" s="205"/>
      <c r="C30" s="169">
        <v>271000</v>
      </c>
      <c r="D30" s="99" t="s">
        <v>4571</v>
      </c>
      <c r="J30" s="219"/>
      <c r="K30" s="219"/>
      <c r="L30" s="113"/>
      <c r="M30" s="219"/>
      <c r="N30" s="113"/>
      <c r="O30" s="99"/>
      <c r="W30" s="168"/>
      <c r="X30" s="168"/>
      <c r="Y30" s="113"/>
      <c r="Z30" s="168"/>
      <c r="AA30" s="168"/>
      <c r="AB30" s="113"/>
      <c r="AC30" s="168"/>
      <c r="AD30" s="19"/>
      <c r="AE30" s="168"/>
    </row>
    <row r="31" spans="1:31">
      <c r="A31" s="99" t="s">
        <v>4583</v>
      </c>
      <c r="B31" s="205"/>
      <c r="C31" s="169">
        <v>69700</v>
      </c>
      <c r="D31" s="99" t="s">
        <v>4576</v>
      </c>
      <c r="J31" s="219"/>
      <c r="K31" s="219"/>
      <c r="L31" s="113"/>
      <c r="M31" s="219"/>
      <c r="N31" s="113"/>
      <c r="O31" s="99"/>
      <c r="AC31" t="s">
        <v>25</v>
      </c>
    </row>
    <row r="32" spans="1:31">
      <c r="A32" s="99"/>
      <c r="B32" s="205"/>
      <c r="C32" s="169"/>
      <c r="D32" s="99"/>
      <c r="J32" s="168"/>
      <c r="K32" s="168"/>
      <c r="L32" s="113" t="s">
        <v>25</v>
      </c>
      <c r="M32" s="168"/>
      <c r="N32" s="113"/>
      <c r="O32" s="99"/>
      <c r="Z32" t="s">
        <v>25</v>
      </c>
      <c r="AA32" t="s">
        <v>25</v>
      </c>
    </row>
    <row r="33" spans="1:30">
      <c r="A33" s="99"/>
      <c r="B33" s="205"/>
      <c r="C33" s="169"/>
      <c r="D33" s="99"/>
      <c r="J33" s="168"/>
      <c r="K33" s="168"/>
      <c r="L33" s="168"/>
      <c r="M33" s="168">
        <f>SUM(M2:M32)</f>
        <v>86</v>
      </c>
      <c r="N33" s="113">
        <f>SUM(N2:N32)</f>
        <v>353702777</v>
      </c>
      <c r="O33" s="169">
        <f>N33/(M33-3)</f>
        <v>4261479.2409638558</v>
      </c>
      <c r="W33" s="96"/>
      <c r="X33" s="96"/>
      <c r="Y33" s="96"/>
      <c r="Z33" s="96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J34" s="168"/>
      <c r="K34" s="168"/>
      <c r="L34" s="168"/>
      <c r="M34" s="168" t="s">
        <v>6</v>
      </c>
      <c r="N34" s="168"/>
      <c r="O34" s="99"/>
      <c r="W34" s="169"/>
      <c r="X34" s="217"/>
      <c r="Y34" s="217"/>
      <c r="Z34" s="217"/>
      <c r="AA34" s="217"/>
      <c r="AB34" s="99"/>
      <c r="AC34" s="32"/>
      <c r="AD34" s="32"/>
    </row>
    <row r="35" spans="1:30">
      <c r="A35" s="99"/>
      <c r="B35" s="169"/>
      <c r="C35" s="169"/>
      <c r="D35" s="99"/>
      <c r="M35" s="113">
        <f>N33/(M33-3)</f>
        <v>4261479.2409638558</v>
      </c>
      <c r="W35" s="169"/>
      <c r="X35" s="217"/>
      <c r="Y35" s="217"/>
      <c r="Z35" s="217"/>
      <c r="AA35" s="217"/>
      <c r="AB35" s="99"/>
      <c r="AC35" s="32"/>
      <c r="AD35" s="32"/>
    </row>
    <row r="36" spans="1:30">
      <c r="B36" s="58"/>
      <c r="C36" s="58"/>
      <c r="D36" s="115"/>
      <c r="M36" s="41" t="s">
        <v>4535</v>
      </c>
      <c r="N36" t="s">
        <v>25</v>
      </c>
      <c r="O36">
        <v>17962491</v>
      </c>
      <c r="P36">
        <f>O36/2</f>
        <v>8981245.5</v>
      </c>
      <c r="Q36">
        <f>O36/4</f>
        <v>4490622.75</v>
      </c>
      <c r="AA36" s="96"/>
      <c r="AB36" s="96"/>
      <c r="AC36" s="96"/>
      <c r="AD36" s="96"/>
    </row>
    <row r="37" spans="1:30">
      <c r="B37" t="s">
        <v>25</v>
      </c>
      <c r="Z37" t="s">
        <v>25</v>
      </c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AA38" s="96"/>
      <c r="AB38" s="96"/>
      <c r="AC38" s="96"/>
      <c r="AD38" s="96"/>
    </row>
    <row r="39" spans="1:30">
      <c r="L39">
        <f>140-M33</f>
        <v>54</v>
      </c>
      <c r="M39">
        <f>70-M2-M4-M5-M7-M9-M10-M12-M14-M16-M18-M20-M22-M25-M27</f>
        <v>24.5</v>
      </c>
      <c r="N39" t="s">
        <v>483</v>
      </c>
      <c r="O39" t="s">
        <v>4810</v>
      </c>
      <c r="AA39" s="96"/>
      <c r="AB39" s="96"/>
      <c r="AC39" s="96"/>
      <c r="AD39" s="96"/>
    </row>
    <row r="40" spans="1:30">
      <c r="M40">
        <f>65-M3-M6-M8-M11-M13-M15-M17-M19-M21-M23-M26-M28</f>
        <v>29.5</v>
      </c>
      <c r="N40" t="s">
        <v>5</v>
      </c>
      <c r="AA40" s="96"/>
      <c r="AB40" s="96"/>
      <c r="AC40" s="96"/>
      <c r="AD40" s="96"/>
    </row>
    <row r="41" spans="1:30">
      <c r="AA41" s="96"/>
      <c r="AB41" s="96"/>
      <c r="AC41" s="96"/>
      <c r="AD41" s="96"/>
    </row>
    <row r="42" spans="1:30">
      <c r="A42" s="99" t="s">
        <v>180</v>
      </c>
      <c r="B42" s="99" t="s">
        <v>4764</v>
      </c>
      <c r="C42" s="99" t="s">
        <v>4765</v>
      </c>
      <c r="D42" s="99" t="s">
        <v>4766</v>
      </c>
      <c r="E42" s="69" t="s">
        <v>4767</v>
      </c>
      <c r="AA42" s="96"/>
      <c r="AB42" s="96"/>
      <c r="AC42" s="96"/>
      <c r="AD42" s="96"/>
    </row>
    <row r="43" spans="1:30">
      <c r="A43" s="99" t="s">
        <v>4695</v>
      </c>
      <c r="B43" s="95">
        <v>4080000</v>
      </c>
      <c r="C43" s="95">
        <v>4200000</v>
      </c>
      <c r="D43" s="95"/>
      <c r="E43" s="95"/>
      <c r="W43" s="96"/>
      <c r="X43" s="96"/>
      <c r="Y43" s="96"/>
      <c r="Z43" s="96"/>
      <c r="AA43" s="96"/>
      <c r="AB43" s="96"/>
      <c r="AC43" s="96"/>
      <c r="AD43" s="96"/>
    </row>
    <row r="44" spans="1:30">
      <c r="A44" s="99" t="s">
        <v>4705</v>
      </c>
      <c r="B44" s="95">
        <v>4100000</v>
      </c>
      <c r="C44" s="95">
        <v>4230000</v>
      </c>
      <c r="D44" s="95"/>
      <c r="E44" s="95"/>
      <c r="I44" s="41"/>
      <c r="K44" s="168" t="s">
        <v>4546</v>
      </c>
      <c r="L44" s="168" t="s">
        <v>1086</v>
      </c>
      <c r="M44" s="168" t="s">
        <v>4243</v>
      </c>
      <c r="N44" s="168" t="s">
        <v>4563</v>
      </c>
      <c r="O44" s="168"/>
      <c r="W44" s="96"/>
      <c r="X44" s="96"/>
      <c r="Y44" s="96"/>
      <c r="Z44" s="96" t="s">
        <v>4682</v>
      </c>
      <c r="AA44" s="96"/>
      <c r="AB44" s="96"/>
      <c r="AC44" s="96"/>
      <c r="AD44" s="96"/>
    </row>
    <row r="45" spans="1:30">
      <c r="A45" s="99" t="s">
        <v>4709</v>
      </c>
      <c r="B45" s="95">
        <v>4230000</v>
      </c>
      <c r="C45" s="95">
        <v>4330000</v>
      </c>
      <c r="D45" s="95">
        <v>12200</v>
      </c>
      <c r="E45" s="95">
        <v>12350</v>
      </c>
      <c r="K45" s="168" t="s">
        <v>4534</v>
      </c>
      <c r="L45" s="168">
        <v>3390000</v>
      </c>
      <c r="M45" s="168">
        <v>161.4</v>
      </c>
      <c r="N45" s="168">
        <f>L45/M45</f>
        <v>21003.717472118959</v>
      </c>
      <c r="O45" s="168"/>
      <c r="W45" s="96"/>
      <c r="X45" s="96"/>
      <c r="Y45" s="96"/>
      <c r="Z45" s="96" t="s">
        <v>4683</v>
      </c>
      <c r="AA45" s="212">
        <v>35441</v>
      </c>
      <c r="AB45" s="96"/>
      <c r="AC45" s="96"/>
      <c r="AD45" s="96"/>
    </row>
    <row r="46" spans="1:30" ht="120">
      <c r="A46" s="99" t="s">
        <v>4738</v>
      </c>
      <c r="B46" s="95">
        <v>4270000</v>
      </c>
      <c r="C46" s="95">
        <v>4370000</v>
      </c>
      <c r="D46" s="95"/>
      <c r="E46" s="95"/>
      <c r="K46" s="168"/>
      <c r="L46" s="168"/>
      <c r="M46" s="168"/>
      <c r="N46" s="168"/>
      <c r="O46" s="168"/>
      <c r="W46" s="96"/>
      <c r="X46" s="22" t="s">
        <v>4686</v>
      </c>
      <c r="Y46" s="22" t="s">
        <v>4685</v>
      </c>
      <c r="Z46" s="22" t="s">
        <v>4684</v>
      </c>
      <c r="AA46" s="22" t="s">
        <v>4688</v>
      </c>
    </row>
    <row r="47" spans="1:30">
      <c r="A47" s="99" t="s">
        <v>4754</v>
      </c>
      <c r="B47" s="95">
        <v>3980000</v>
      </c>
      <c r="C47" s="95">
        <v>4120000</v>
      </c>
      <c r="D47" s="95">
        <v>11450</v>
      </c>
      <c r="E47" s="95">
        <v>11650</v>
      </c>
      <c r="K47" s="168"/>
      <c r="L47" s="168"/>
      <c r="M47" s="168"/>
      <c r="N47" s="168"/>
      <c r="O47" s="168"/>
    </row>
    <row r="48" spans="1:30">
      <c r="A48" s="99" t="s">
        <v>4757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B54-B47+L19</f>
        <v>4541628</v>
      </c>
      <c r="K48" s="168"/>
      <c r="L48" s="168"/>
      <c r="M48" s="168"/>
      <c r="N48" s="168"/>
      <c r="O48" s="168"/>
    </row>
    <row r="49" spans="1:15">
      <c r="A49" s="99" t="s">
        <v>4761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</row>
    <row r="50" spans="1:15">
      <c r="A50" s="99" t="s">
        <v>4768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</row>
    <row r="51" spans="1:15">
      <c r="A51" s="99" t="s">
        <v>4771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15">
      <c r="A52" s="99" t="s">
        <v>4773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15">
      <c r="A53" s="99" t="s">
        <v>4776</v>
      </c>
      <c r="B53" s="95">
        <v>4240000</v>
      </c>
      <c r="C53" s="95">
        <v>4340000</v>
      </c>
      <c r="D53" s="95">
        <v>12100</v>
      </c>
      <c r="E53" s="95">
        <v>12250</v>
      </c>
    </row>
    <row r="54" spans="1:15">
      <c r="A54" s="99" t="s">
        <v>4794</v>
      </c>
      <c r="B54" s="95">
        <v>4230000</v>
      </c>
      <c r="C54" s="95">
        <v>4370000</v>
      </c>
      <c r="D54" s="95">
        <v>12100</v>
      </c>
      <c r="E54" s="95">
        <v>12250</v>
      </c>
    </row>
    <row r="55" spans="1:15">
      <c r="A55" s="99"/>
      <c r="B55" s="95"/>
      <c r="C55" s="95"/>
      <c r="D55" s="95"/>
      <c r="E55" s="95"/>
    </row>
    <row r="56" spans="1:15">
      <c r="A56" s="99"/>
      <c r="B56" s="95"/>
      <c r="C56" s="95"/>
      <c r="D56" s="95"/>
      <c r="E56" s="95"/>
    </row>
    <row r="57" spans="1:15">
      <c r="A57" s="99"/>
      <c r="B57" s="95"/>
      <c r="C57" s="95"/>
      <c r="D57" s="95"/>
      <c r="E57" s="95"/>
    </row>
    <row r="58" spans="1:15">
      <c r="A58" s="99"/>
      <c r="B58" s="95"/>
      <c r="C58" s="95"/>
      <c r="D58" s="95"/>
      <c r="E58" s="95"/>
    </row>
    <row r="65" spans="10:13">
      <c r="J65" s="41"/>
      <c r="K65" s="41"/>
      <c r="L65" s="41"/>
      <c r="M65" s="41"/>
    </row>
    <row r="68" spans="10:13">
      <c r="L68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4441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4553</v>
      </c>
      <c r="Z2" s="99" t="s">
        <v>4618</v>
      </c>
      <c r="AA2" s="99" t="s">
        <v>4616</v>
      </c>
      <c r="AB2" s="99" t="s">
        <v>4617</v>
      </c>
      <c r="AC2" s="99" t="s">
        <v>4620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4619</v>
      </c>
      <c r="Z4" s="99">
        <v>1</v>
      </c>
      <c r="AA4" s="99">
        <v>1</v>
      </c>
      <c r="AB4" s="99">
        <f t="shared" si="0"/>
        <v>1</v>
      </c>
      <c r="AC4" s="99" t="s">
        <v>4621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4604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4589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4311</v>
      </c>
      <c r="B4" s="18">
        <v>-3200000</v>
      </c>
      <c r="C4" s="18">
        <v>0</v>
      </c>
      <c r="D4" s="113">
        <f t="shared" si="0"/>
        <v>-3200000</v>
      </c>
      <c r="E4" s="99" t="s">
        <v>4322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4311</v>
      </c>
      <c r="B5" s="18">
        <v>2400000</v>
      </c>
      <c r="C5" s="18">
        <v>0</v>
      </c>
      <c r="D5" s="113">
        <f t="shared" si="0"/>
        <v>2400000</v>
      </c>
      <c r="E5" s="20" t="s">
        <v>4325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4333</v>
      </c>
      <c r="B6" s="18">
        <v>-2000700</v>
      </c>
      <c r="C6" s="18">
        <v>0</v>
      </c>
      <c r="D6" s="113">
        <f t="shared" si="0"/>
        <v>-2000700</v>
      </c>
      <c r="E6" s="19" t="s">
        <v>4334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4333</v>
      </c>
      <c r="B7" s="18">
        <v>-200000</v>
      </c>
      <c r="C7" s="18">
        <v>0</v>
      </c>
      <c r="D7" s="113">
        <f t="shared" si="0"/>
        <v>-200000</v>
      </c>
      <c r="E7" s="19" t="s">
        <v>4335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4333</v>
      </c>
      <c r="B8" s="18">
        <v>-1900000</v>
      </c>
      <c r="C8" s="18">
        <v>0</v>
      </c>
      <c r="D8" s="113">
        <f t="shared" si="0"/>
        <v>-1900000</v>
      </c>
      <c r="E8" s="19" t="s">
        <v>4336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4339</v>
      </c>
      <c r="B9" s="18">
        <v>-50000</v>
      </c>
      <c r="C9" s="18">
        <v>0</v>
      </c>
      <c r="D9" s="113">
        <f t="shared" si="0"/>
        <v>-50000</v>
      </c>
      <c r="E9" s="21" t="s">
        <v>4340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4352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4352</v>
      </c>
      <c r="B11" s="18">
        <v>-3000900</v>
      </c>
      <c r="C11" s="18">
        <v>0</v>
      </c>
      <c r="D11" s="113">
        <f t="shared" si="0"/>
        <v>-3000900</v>
      </c>
      <c r="E11" s="19" t="s">
        <v>4360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4353</v>
      </c>
      <c r="B12" s="18">
        <v>-3000900</v>
      </c>
      <c r="C12" s="18">
        <v>0</v>
      </c>
      <c r="D12" s="113">
        <f t="shared" si="0"/>
        <v>-3000900</v>
      </c>
      <c r="E12" s="20" t="s">
        <v>4360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4353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4372</v>
      </c>
      <c r="B14" s="18">
        <v>-138360</v>
      </c>
      <c r="C14" s="18">
        <v>0</v>
      </c>
      <c r="D14" s="113">
        <f t="shared" si="0"/>
        <v>-138360</v>
      </c>
      <c r="E14" s="20" t="s">
        <v>4373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4375</v>
      </c>
      <c r="B15" s="18">
        <v>-3000900</v>
      </c>
      <c r="C15" s="18">
        <v>0</v>
      </c>
      <c r="D15" s="117">
        <f t="shared" si="0"/>
        <v>-3000900</v>
      </c>
      <c r="E15" s="20" t="s">
        <v>4360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4381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4398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4409</v>
      </c>
      <c r="B18" s="18">
        <v>-4098523</v>
      </c>
      <c r="C18" s="18">
        <v>0</v>
      </c>
      <c r="D18" s="113">
        <f t="shared" si="0"/>
        <v>-4098523</v>
      </c>
      <c r="E18" s="20" t="s">
        <v>4408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4409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4409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4405</v>
      </c>
      <c r="B21" s="18">
        <v>-7500</v>
      </c>
      <c r="C21" s="18">
        <v>0</v>
      </c>
      <c r="D21" s="113">
        <f t="shared" si="0"/>
        <v>-7500</v>
      </c>
      <c r="E21" s="19" t="s">
        <v>4406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4442</v>
      </c>
      <c r="B22" s="18">
        <v>7964</v>
      </c>
      <c r="C22" s="18">
        <v>65497</v>
      </c>
      <c r="D22" s="113">
        <f t="shared" si="0"/>
        <v>-57533</v>
      </c>
      <c r="E22" s="19" t="s">
        <v>4443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4321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4341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4356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4367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4380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4382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4383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4384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4385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4387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4385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4389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4390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4391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4392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4393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4394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4397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4399</v>
      </c>
    </row>
    <row r="82" spans="4:5">
      <c r="D82" s="114">
        <v>-142143</v>
      </c>
      <c r="E82" s="54" t="s">
        <v>4403</v>
      </c>
    </row>
    <row r="83" spans="4:5">
      <c r="D83" s="114">
        <v>-128352</v>
      </c>
      <c r="E83" s="54" t="s">
        <v>4402</v>
      </c>
    </row>
    <row r="84" spans="4:5">
      <c r="D84" s="114">
        <v>-6035000</v>
      </c>
      <c r="E84" s="54" t="s">
        <v>4412</v>
      </c>
    </row>
    <row r="85" spans="4:5">
      <c r="D85" s="114">
        <v>-55957</v>
      </c>
      <c r="E85" s="54" t="s">
        <v>4411</v>
      </c>
    </row>
    <row r="86" spans="4:5">
      <c r="D86" s="114">
        <v>7500</v>
      </c>
      <c r="E86" s="54" t="s">
        <v>4410</v>
      </c>
    </row>
    <row r="87" spans="4:5">
      <c r="D87" s="114">
        <v>1700000</v>
      </c>
      <c r="E87" s="54" t="s">
        <v>4413</v>
      </c>
    </row>
    <row r="88" spans="4:5">
      <c r="D88" s="114">
        <v>129648</v>
      </c>
      <c r="E88" s="54" t="s">
        <v>4414</v>
      </c>
    </row>
    <row r="89" spans="4:5">
      <c r="D89" s="114">
        <v>1000000</v>
      </c>
      <c r="E89" s="54" t="s">
        <v>4417</v>
      </c>
    </row>
    <row r="90" spans="4:5">
      <c r="D90" s="114">
        <v>-53003</v>
      </c>
      <c r="E90" s="54" t="s">
        <v>4418</v>
      </c>
    </row>
    <row r="91" spans="4:5">
      <c r="D91" s="114">
        <v>-23690</v>
      </c>
      <c r="E91" s="54" t="s">
        <v>4418</v>
      </c>
    </row>
    <row r="92" spans="4:5">
      <c r="D92" s="114">
        <v>-216910</v>
      </c>
      <c r="E92" s="54" t="s">
        <v>4420</v>
      </c>
    </row>
    <row r="93" spans="4:5">
      <c r="D93" s="114">
        <v>-30304</v>
      </c>
      <c r="E93" s="54" t="s">
        <v>4424</v>
      </c>
    </row>
    <row r="94" spans="4:5">
      <c r="D94" s="114">
        <v>-10067</v>
      </c>
      <c r="E94" s="54" t="s">
        <v>4425</v>
      </c>
    </row>
    <row r="95" spans="4:5">
      <c r="D95" s="114">
        <v>-16248</v>
      </c>
      <c r="E95" s="54" t="s">
        <v>4427</v>
      </c>
    </row>
    <row r="96" spans="4:5">
      <c r="D96" s="114">
        <v>-87695</v>
      </c>
      <c r="E96" s="54" t="s">
        <v>4428</v>
      </c>
    </row>
    <row r="97" spans="4:7">
      <c r="D97" s="114">
        <v>-29231</v>
      </c>
      <c r="E97" s="54" t="s">
        <v>4429</v>
      </c>
    </row>
    <row r="98" spans="4:7">
      <c r="D98" s="114">
        <v>1000000</v>
      </c>
      <c r="E98" s="54" t="s">
        <v>4430</v>
      </c>
    </row>
    <row r="99" spans="4:7">
      <c r="D99" s="114">
        <v>-35250</v>
      </c>
      <c r="E99" s="54" t="s">
        <v>4431</v>
      </c>
    </row>
    <row r="100" spans="4:7">
      <c r="D100" s="114">
        <v>-57477</v>
      </c>
      <c r="E100" s="54" t="s">
        <v>4432</v>
      </c>
    </row>
    <row r="101" spans="4:7">
      <c r="D101" s="114">
        <v>-13565</v>
      </c>
      <c r="E101" s="54" t="s">
        <v>4433</v>
      </c>
    </row>
    <row r="102" spans="4:7">
      <c r="D102" s="114">
        <v>-9429</v>
      </c>
      <c r="E102" s="54" t="s">
        <v>4434</v>
      </c>
    </row>
    <row r="103" spans="4:7">
      <c r="D103" s="114">
        <v>-600000</v>
      </c>
      <c r="E103" s="54" t="s">
        <v>4435</v>
      </c>
    </row>
    <row r="104" spans="4:7">
      <c r="D104" s="114">
        <v>335</v>
      </c>
      <c r="E104" s="54" t="s">
        <v>4437</v>
      </c>
    </row>
    <row r="105" spans="4:7">
      <c r="D105" s="114">
        <v>31026</v>
      </c>
      <c r="E105" s="54" t="s">
        <v>4438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4436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4444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4446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4451</v>
      </c>
      <c r="B5" s="18">
        <v>1100000</v>
      </c>
      <c r="C5" s="18">
        <v>0</v>
      </c>
      <c r="D5" s="113">
        <f t="shared" si="0"/>
        <v>1100000</v>
      </c>
      <c r="E5" s="20" t="s">
        <v>4325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4453</v>
      </c>
      <c r="B6" s="18">
        <v>3000000</v>
      </c>
      <c r="C6" s="18">
        <v>0</v>
      </c>
      <c r="D6" s="113">
        <f t="shared" si="0"/>
        <v>3000000</v>
      </c>
      <c r="E6" s="19" t="s">
        <v>4454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4450</v>
      </c>
      <c r="B7" s="18">
        <v>-2000700</v>
      </c>
      <c r="C7" s="18">
        <v>0</v>
      </c>
      <c r="D7" s="113">
        <f t="shared" si="0"/>
        <v>-2000700</v>
      </c>
      <c r="E7" s="19" t="s">
        <v>4484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4450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4450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4450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4491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4491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4497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4505</v>
      </c>
      <c r="B16" s="18">
        <v>12000000</v>
      </c>
      <c r="C16" s="18">
        <v>0</v>
      </c>
      <c r="D16" s="113">
        <f t="shared" si="0"/>
        <v>12000000</v>
      </c>
      <c r="E16" s="20" t="s">
        <v>4506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4507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4509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4511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4511</v>
      </c>
      <c r="B20" s="18">
        <v>0</v>
      </c>
      <c r="C20" s="18">
        <v>-8034286</v>
      </c>
      <c r="D20" s="113">
        <f t="shared" si="0"/>
        <v>8034286</v>
      </c>
      <c r="E20" s="19" t="s">
        <v>4513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4511</v>
      </c>
      <c r="B21" s="18">
        <v>-10000</v>
      </c>
      <c r="C21" s="18">
        <v>0</v>
      </c>
      <c r="D21" s="113">
        <f t="shared" si="0"/>
        <v>-10000</v>
      </c>
      <c r="E21" s="19" t="s">
        <v>4514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4523</v>
      </c>
      <c r="B25" s="18">
        <v>-100500</v>
      </c>
      <c r="C25" s="18">
        <v>0</v>
      </c>
      <c r="D25" s="113">
        <f t="shared" si="0"/>
        <v>-100500</v>
      </c>
      <c r="E25" s="19" t="s">
        <v>4525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4523</v>
      </c>
      <c r="B26" s="18">
        <v>-68670</v>
      </c>
      <c r="C26" s="18">
        <v>0</v>
      </c>
      <c r="D26" s="113">
        <f t="shared" si="0"/>
        <v>-68670</v>
      </c>
      <c r="E26" s="19" t="s">
        <v>4529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4526</v>
      </c>
      <c r="B27" s="18">
        <v>-118600</v>
      </c>
      <c r="C27" s="18">
        <v>0</v>
      </c>
      <c r="D27" s="113">
        <f t="shared" si="0"/>
        <v>-118600</v>
      </c>
      <c r="E27" s="19" t="s">
        <v>4531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4536</v>
      </c>
      <c r="B30" s="18">
        <v>-389000</v>
      </c>
      <c r="C30" s="18">
        <v>0</v>
      </c>
      <c r="D30" s="113">
        <f t="shared" si="0"/>
        <v>-389000</v>
      </c>
      <c r="E30" s="19" t="s">
        <v>4538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4481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4501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4442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4564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4564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4568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4568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4571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4571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4576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4579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4579</v>
      </c>
      <c r="B11" s="18">
        <v>-1287000</v>
      </c>
      <c r="C11" s="18">
        <v>0</v>
      </c>
      <c r="D11" s="113">
        <f t="shared" si="0"/>
        <v>-1287000</v>
      </c>
      <c r="E11" s="19" t="s">
        <v>4580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4576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4577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4589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4597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4599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4609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4613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4515</v>
      </c>
      <c r="B22" s="18">
        <v>-3995000</v>
      </c>
      <c r="C22" s="18">
        <v>0</v>
      </c>
      <c r="D22" s="113">
        <f t="shared" si="0"/>
        <v>-3995000</v>
      </c>
      <c r="E22" s="19" t="s">
        <v>4615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4522</v>
      </c>
      <c r="B23" s="18">
        <v>-2010700</v>
      </c>
      <c r="C23" s="18">
        <v>0</v>
      </c>
      <c r="D23" s="113">
        <f t="shared" si="0"/>
        <v>-2010700</v>
      </c>
      <c r="E23" s="19" t="s">
        <v>4626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-77315</v>
      </c>
      <c r="C29" s="18">
        <v>0</v>
      </c>
      <c r="D29" s="113">
        <f t="shared" si="0"/>
        <v>-77315</v>
      </c>
      <c r="E29" s="19" t="s">
        <v>4648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-66850</v>
      </c>
      <c r="C30" s="18">
        <v>0</v>
      </c>
      <c r="D30" s="113">
        <f t="shared" si="0"/>
        <v>-66850</v>
      </c>
      <c r="E30" s="19" t="s">
        <v>4656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4354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4355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4555</v>
      </c>
      <c r="B1" t="s">
        <v>4558</v>
      </c>
      <c r="C1" t="s">
        <v>4559</v>
      </c>
    </row>
    <row r="2" spans="1:3">
      <c r="A2" t="s">
        <v>4556</v>
      </c>
      <c r="B2" t="s">
        <v>4560</v>
      </c>
      <c r="C2" t="s">
        <v>4561</v>
      </c>
    </row>
    <row r="3" spans="1:3">
      <c r="A3" t="s">
        <v>4557</v>
      </c>
      <c r="B3" t="s">
        <v>4559</v>
      </c>
      <c r="C3" t="s">
        <v>4562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2019-02-16T12:21:40Z</dcterms:modified>
</cp:coreProperties>
</file>