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W101" i="18" l="1"/>
  <c r="W102" i="18"/>
  <c r="W103" i="18"/>
  <c r="W104" i="18"/>
  <c r="W105" i="18"/>
  <c r="W106" i="18"/>
  <c r="W107" i="18"/>
  <c r="W100" i="18"/>
  <c r="R102" i="18"/>
  <c r="R101" i="18"/>
  <c r="R100" i="18"/>
  <c r="AJ97" i="18"/>
  <c r="N51" i="18" l="1"/>
  <c r="AS37" i="18" l="1"/>
  <c r="R140" i="18" l="1"/>
  <c r="T124" i="18" s="1"/>
  <c r="R149" i="18"/>
  <c r="R131" i="18"/>
  <c r="R123" i="18"/>
  <c r="U108" i="18"/>
  <c r="L35" i="18" l="1"/>
  <c r="T83" i="18" l="1"/>
  <c r="S37" i="18"/>
  <c r="S38" i="18" s="1"/>
  <c r="S39" i="18" s="1"/>
  <c r="R105" i="18"/>
  <c r="R104" i="18"/>
  <c r="R103" i="18"/>
  <c r="AJ139" i="18"/>
  <c r="P25" i="18"/>
  <c r="N25" i="18" s="1"/>
  <c r="D46" i="51"/>
  <c r="L22" i="18" s="1"/>
  <c r="S40" i="18" l="1"/>
  <c r="P30" i="18" l="1"/>
  <c r="N30" i="18" s="1"/>
  <c r="P23" i="18"/>
  <c r="N23" i="18" s="1"/>
  <c r="N46" i="18"/>
  <c r="M74" i="18" l="1"/>
  <c r="P28" i="18" l="1"/>
  <c r="N28" i="18" s="1"/>
  <c r="C2" i="51" l="1"/>
  <c r="H2" i="51" s="1"/>
  <c r="B2" i="51"/>
  <c r="G33" i="48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B27" i="51"/>
  <c r="C27" i="51"/>
  <c r="H28" i="51"/>
  <c r="D2" i="51"/>
  <c r="R10" i="49"/>
  <c r="S10" i="49"/>
  <c r="R9" i="49"/>
  <c r="H33" i="51" l="1"/>
  <c r="D27" i="51"/>
  <c r="I2" i="51"/>
  <c r="I28" i="51" s="1"/>
  <c r="I33" i="51" s="1"/>
  <c r="S20" i="18"/>
  <c r="S21" i="18" s="1"/>
  <c r="P29" i="18" l="1"/>
  <c r="N29" i="18" s="1"/>
  <c r="Q42" i="18" s="1"/>
  <c r="N50" i="18" l="1"/>
  <c r="N49" i="18" l="1"/>
  <c r="D108" i="50" l="1"/>
  <c r="P24" i="18" l="1"/>
  <c r="N48" i="18"/>
  <c r="C8" i="36" l="1"/>
  <c r="N43" i="18" l="1"/>
  <c r="N22" i="33" l="1"/>
  <c r="R22" i="33" s="1"/>
  <c r="E22" i="33"/>
  <c r="AL96" i="18"/>
  <c r="AL95" i="18" s="1"/>
  <c r="C22" i="33" l="1"/>
  <c r="J22" i="33"/>
  <c r="F22" i="33"/>
  <c r="AL94" i="18"/>
  <c r="AM95" i="18"/>
  <c r="AM96" i="18"/>
  <c r="B22" i="33"/>
  <c r="I22" i="33"/>
  <c r="L22" i="33"/>
  <c r="H22" i="33"/>
  <c r="D22" i="33"/>
  <c r="K22" i="33"/>
  <c r="G22" i="33"/>
  <c r="AL93" i="18" l="1"/>
  <c r="AM94" i="18"/>
  <c r="AL137" i="18"/>
  <c r="AL92" i="18" l="1"/>
  <c r="AM93" i="18"/>
  <c r="AM137" i="18"/>
  <c r="AL136" i="18"/>
  <c r="S22" i="18"/>
  <c r="S23" i="18" s="1"/>
  <c r="S24" i="18" s="1"/>
  <c r="P22" i="18"/>
  <c r="N22" i="18" s="1"/>
  <c r="N47" i="18"/>
  <c r="AL91" i="18" l="1"/>
  <c r="AM92" i="18"/>
  <c r="AL135" i="18"/>
  <c r="AM136" i="18"/>
  <c r="AL90" i="18" l="1"/>
  <c r="AM91" i="18"/>
  <c r="S25" i="18"/>
  <c r="AL134" i="18"/>
  <c r="AM135" i="18"/>
  <c r="S26" i="18" l="1"/>
  <c r="S27" i="18" s="1"/>
  <c r="S28" i="18" s="1"/>
  <c r="S29" i="18" s="1"/>
  <c r="S30" i="18" s="1"/>
  <c r="AL89" i="18"/>
  <c r="AM90" i="18"/>
  <c r="AL133" i="18"/>
  <c r="AM134" i="18"/>
  <c r="N74" i="18"/>
  <c r="AL88" i="18" l="1"/>
  <c r="AM89" i="18"/>
  <c r="AL132" i="18"/>
  <c r="AM133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L87" i="18" l="1"/>
  <c r="AM88" i="18"/>
  <c r="AL131" i="18"/>
  <c r="AM132" i="18"/>
  <c r="D73" i="48"/>
  <c r="N24" i="18"/>
  <c r="AL86" i="18" l="1"/>
  <c r="AM87" i="18"/>
  <c r="AL130" i="18"/>
  <c r="AM131" i="18"/>
  <c r="N37" i="18"/>
  <c r="AL85" i="18" l="1"/>
  <c r="AM86" i="18"/>
  <c r="AL129" i="18"/>
  <c r="AM130" i="18"/>
  <c r="P55" i="18"/>
  <c r="AL84" i="18" l="1"/>
  <c r="AM85" i="18"/>
  <c r="AL128" i="18"/>
  <c r="AM129" i="18"/>
  <c r="AM84" i="18" l="1"/>
  <c r="AL83" i="18"/>
  <c r="AL127" i="18"/>
  <c r="AM128" i="18"/>
  <c r="N23" i="33"/>
  <c r="D23" i="33" s="1"/>
  <c r="AL82" i="18" l="1"/>
  <c r="AM83" i="18"/>
  <c r="AL126" i="18"/>
  <c r="AM12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81" i="18" l="1"/>
  <c r="AM82" i="18"/>
  <c r="AL125" i="18"/>
  <c r="AM126" i="18"/>
  <c r="P21" i="18"/>
  <c r="N21" i="18" s="1"/>
  <c r="B263" i="15"/>
  <c r="AJ143" i="18" l="1"/>
  <c r="AJ144" i="18" s="1"/>
  <c r="Q32" i="18"/>
  <c r="AL80" i="18"/>
  <c r="AM80" i="18" s="1"/>
  <c r="AM81" i="18"/>
  <c r="AM125" i="18"/>
  <c r="AL124" i="18"/>
  <c r="S51" i="18"/>
  <c r="S52" i="18" s="1"/>
  <c r="AL123" i="18" l="1"/>
  <c r="AM124" i="18"/>
  <c r="S53" i="18"/>
  <c r="S54" i="18" s="1"/>
  <c r="AM123" i="18" l="1"/>
  <c r="AL122" i="18"/>
  <c r="P45" i="18"/>
  <c r="AM122" i="18" l="1"/>
  <c r="AL121" i="18"/>
  <c r="AL120" i="18" l="1"/>
  <c r="AM121" i="18"/>
  <c r="C267" i="20"/>
  <c r="AL119" i="18" l="1"/>
  <c r="AM120" i="18"/>
  <c r="B8" i="36"/>
  <c r="AL118" i="18" l="1"/>
  <c r="AM119" i="18"/>
  <c r="B10" i="36"/>
  <c r="AL117" i="18" l="1"/>
  <c r="AM118" i="18"/>
  <c r="S55" i="18"/>
  <c r="S56" i="18" s="1"/>
  <c r="S57" i="18" s="1"/>
  <c r="S58" i="18" s="1"/>
  <c r="S59" i="18" s="1"/>
  <c r="S60" i="18" s="1"/>
  <c r="S61" i="18" s="1"/>
  <c r="S62" i="18" s="1"/>
  <c r="S63" i="18" s="1"/>
  <c r="S64" i="18" l="1"/>
  <c r="S65" i="18" s="1"/>
  <c r="S66" i="18" s="1"/>
  <c r="S67" i="18" s="1"/>
  <c r="AL116" i="18"/>
  <c r="AM117" i="18"/>
  <c r="N25" i="33"/>
  <c r="N24" i="33"/>
  <c r="N21" i="33"/>
  <c r="N20" i="33"/>
  <c r="N19" i="33"/>
  <c r="N18" i="33"/>
  <c r="L18" i="33" s="1"/>
  <c r="N17" i="33"/>
  <c r="N9" i="33"/>
  <c r="N3" i="33"/>
  <c r="N4" i="33"/>
  <c r="S68" i="18" l="1"/>
  <c r="AL115" i="18"/>
  <c r="AM116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S69" i="18" l="1"/>
  <c r="S70" i="18" s="1"/>
  <c r="S71" i="18" s="1"/>
  <c r="S72" i="18" s="1"/>
  <c r="S73" i="18" s="1"/>
  <c r="AL114" i="18"/>
  <c r="AM114" i="18" s="1"/>
  <c r="AM115" i="18"/>
  <c r="AC15" i="33"/>
  <c r="AM139" i="18" l="1"/>
  <c r="N16" i="33"/>
  <c r="AN139" i="18" l="1"/>
  <c r="AJ14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J145" i="18" l="1"/>
  <c r="AJ146" i="18" s="1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K252" i="20" s="1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52" i="20" l="1"/>
  <c r="I252" i="20"/>
  <c r="J251" i="20"/>
  <c r="K251" i="20"/>
  <c r="I251" i="20"/>
  <c r="K250" i="20"/>
  <c r="J250" i="20"/>
  <c r="I250" i="20"/>
  <c r="J249" i="20"/>
  <c r="K249" i="20"/>
  <c r="I249" i="20"/>
  <c r="I248" i="20"/>
  <c r="J248" i="20"/>
  <c r="K248" i="20"/>
  <c r="J247" i="20"/>
  <c r="K247" i="20"/>
  <c r="I247" i="20"/>
  <c r="I246" i="20"/>
  <c r="J246" i="20"/>
  <c r="K246" i="20"/>
  <c r="I245" i="20"/>
  <c r="K245" i="20"/>
  <c r="J245" i="20"/>
  <c r="K244" i="20"/>
  <c r="J244" i="20"/>
  <c r="I244" i="20"/>
  <c r="J243" i="20"/>
  <c r="K243" i="20"/>
  <c r="K242" i="20"/>
  <c r="I243" i="20"/>
  <c r="K241" i="20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5" i="18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AL77" i="18" l="1"/>
  <c r="AM78" i="18"/>
  <c r="N55" i="18"/>
  <c r="AL76" i="18" l="1"/>
  <c r="AM77" i="18"/>
  <c r="AL75" i="18" l="1"/>
  <c r="AM76" i="18"/>
  <c r="N44" i="18"/>
  <c r="R109" i="18" l="1"/>
  <c r="T111" i="18" s="1"/>
  <c r="S88" i="18" s="1"/>
  <c r="Q75" i="18"/>
  <c r="AJ103" i="18"/>
  <c r="AJ104" i="18" s="1"/>
  <c r="AL74" i="18"/>
  <c r="AM75" i="18"/>
  <c r="AL73" i="18" l="1"/>
  <c r="AM74" i="18"/>
  <c r="N80" i="18"/>
  <c r="V73" i="18" s="1"/>
  <c r="W73" i="18" l="1"/>
  <c r="X73" i="18"/>
  <c r="U124" i="18"/>
  <c r="V124" i="18" s="1"/>
  <c r="V72" i="18"/>
  <c r="V71" i="18"/>
  <c r="V38" i="18"/>
  <c r="X38" i="18" s="1"/>
  <c r="V40" i="18"/>
  <c r="V39" i="18"/>
  <c r="V68" i="18"/>
  <c r="V70" i="18"/>
  <c r="V69" i="18"/>
  <c r="V30" i="18"/>
  <c r="V29" i="18"/>
  <c r="V67" i="18"/>
  <c r="V28" i="18"/>
  <c r="V26" i="18"/>
  <c r="V27" i="18"/>
  <c r="V65" i="18"/>
  <c r="V66" i="18"/>
  <c r="V25" i="18"/>
  <c r="V64" i="18"/>
  <c r="V63" i="18"/>
  <c r="V62" i="18"/>
  <c r="V61" i="18"/>
  <c r="V60" i="18"/>
  <c r="V24" i="18"/>
  <c r="V59" i="18"/>
  <c r="V57" i="18"/>
  <c r="V58" i="18"/>
  <c r="V55" i="18"/>
  <c r="V56" i="18"/>
  <c r="V54" i="18"/>
  <c r="V21" i="18"/>
  <c r="V23" i="18"/>
  <c r="V50" i="18"/>
  <c r="V20" i="18"/>
  <c r="V22" i="18"/>
  <c r="V51" i="18"/>
  <c r="V52" i="18"/>
  <c r="V53" i="18"/>
  <c r="AL72" i="18"/>
  <c r="AM73" i="18"/>
  <c r="V114" i="18" l="1"/>
  <c r="S87" i="18"/>
  <c r="U87" i="18" s="1"/>
  <c r="V87" i="18" s="1"/>
  <c r="S86" i="18"/>
  <c r="N33" i="18" s="1"/>
  <c r="L21" i="18" s="1"/>
  <c r="N58" i="18"/>
  <c r="S85" i="18"/>
  <c r="W38" i="18"/>
  <c r="W71" i="18"/>
  <c r="X71" i="18"/>
  <c r="X72" i="18"/>
  <c r="W72" i="18"/>
  <c r="U86" i="18"/>
  <c r="V86" i="18" s="1"/>
  <c r="X39" i="18"/>
  <c r="W39" i="18"/>
  <c r="W40" i="18"/>
  <c r="X40" i="18"/>
  <c r="W22" i="18"/>
  <c r="X22" i="18"/>
  <c r="W21" i="18"/>
  <c r="X21" i="18"/>
  <c r="W58" i="18"/>
  <c r="X58" i="18"/>
  <c r="W60" i="18"/>
  <c r="X60" i="18"/>
  <c r="W64" i="18"/>
  <c r="X64" i="18"/>
  <c r="X65" i="18"/>
  <c r="W65" i="18"/>
  <c r="W67" i="18"/>
  <c r="X67" i="18"/>
  <c r="W53" i="18"/>
  <c r="X53" i="18"/>
  <c r="W57" i="18"/>
  <c r="X57" i="18"/>
  <c r="W61" i="18"/>
  <c r="X61" i="18"/>
  <c r="W27" i="18"/>
  <c r="X27" i="18"/>
  <c r="W29" i="18"/>
  <c r="X29" i="18"/>
  <c r="W70" i="18"/>
  <c r="X70" i="18"/>
  <c r="W20" i="18"/>
  <c r="X20" i="18"/>
  <c r="W56" i="18"/>
  <c r="X56" i="18"/>
  <c r="W62" i="18"/>
  <c r="X62" i="18"/>
  <c r="W25" i="18"/>
  <c r="X25" i="18"/>
  <c r="W26" i="18"/>
  <c r="X26" i="18"/>
  <c r="X68" i="18"/>
  <c r="W68" i="18"/>
  <c r="W54" i="18"/>
  <c r="X54" i="18"/>
  <c r="W52" i="18"/>
  <c r="X52" i="18"/>
  <c r="W50" i="18"/>
  <c r="X50" i="18"/>
  <c r="W59" i="18"/>
  <c r="X59" i="18"/>
  <c r="W51" i="18"/>
  <c r="X51" i="18"/>
  <c r="W23" i="18"/>
  <c r="X23" i="18"/>
  <c r="W55" i="18"/>
  <c r="X55" i="18"/>
  <c r="X24" i="18"/>
  <c r="W24" i="18"/>
  <c r="W63" i="18"/>
  <c r="X63" i="18"/>
  <c r="W66" i="18"/>
  <c r="X66" i="18"/>
  <c r="W28" i="18"/>
  <c r="X28" i="18"/>
  <c r="X69" i="18"/>
  <c r="W69" i="18"/>
  <c r="W30" i="18"/>
  <c r="X30" i="18"/>
  <c r="AL71" i="18"/>
  <c r="AM72" i="18"/>
  <c r="N57" i="18" l="1"/>
  <c r="AL70" i="18"/>
  <c r="AM71" i="18"/>
  <c r="AL69" i="18" l="1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L68" i="18" l="1"/>
  <c r="AM69" i="18"/>
  <c r="N2" i="33"/>
  <c r="AL67" i="18" l="1"/>
  <c r="AM68" i="18"/>
  <c r="I2" i="33"/>
  <c r="E2" i="33"/>
  <c r="J2" i="33"/>
  <c r="F2" i="33"/>
  <c r="K2" i="33"/>
  <c r="G2" i="33"/>
  <c r="D2" i="33"/>
  <c r="C2" i="33"/>
  <c r="H2" i="33"/>
  <c r="D73" i="45"/>
  <c r="AL66" i="18" l="1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L65" i="18" l="1"/>
  <c r="AM66" i="18"/>
  <c r="E45" i="14"/>
  <c r="AL64" i="18" l="1"/>
  <c r="AM65" i="18"/>
  <c r="E44" i="14"/>
  <c r="AM64" i="18" l="1"/>
  <c r="AL63" i="18"/>
  <c r="E43" i="14"/>
  <c r="AL62" i="18" l="1"/>
  <c r="AM63" i="18"/>
  <c r="E42" i="14"/>
  <c r="G42" i="14" s="1"/>
  <c r="AL61" i="18" l="1"/>
  <c r="AM62" i="18"/>
  <c r="E41" i="14"/>
  <c r="G41" i="14" s="1"/>
  <c r="AM61" i="18" l="1"/>
  <c r="AL60" i="18"/>
  <c r="E40" i="14"/>
  <c r="G40" i="14" s="1"/>
  <c r="AL59" i="18" l="1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M59" i="18" l="1"/>
  <c r="AL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L57" i="18" l="1"/>
  <c r="AM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L56" i="18" l="1"/>
  <c r="AM57" i="18"/>
  <c r="E36" i="14"/>
  <c r="G36" i="14" s="1"/>
  <c r="B105" i="13"/>
  <c r="B196" i="13" s="1"/>
  <c r="F105" i="13" l="1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M55" i="18" l="1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L53" i="18" l="1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L51" i="18"/>
  <c r="AM52" i="18"/>
  <c r="D27" i="48"/>
  <c r="E253" i="15"/>
  <c r="E252" i="15"/>
  <c r="G33" i="50" l="1"/>
  <c r="H33" i="50" s="1"/>
  <c r="I33" i="48"/>
  <c r="I2" i="50"/>
  <c r="I28" i="50" s="1"/>
  <c r="I33" i="50" s="1"/>
  <c r="D27" i="50"/>
  <c r="AL50" i="18"/>
  <c r="AM51" i="18"/>
  <c r="E251" i="15"/>
  <c r="E250" i="15"/>
  <c r="D171" i="20"/>
  <c r="AM50" i="18" l="1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L48" i="18" l="1"/>
  <c r="AM49" i="18"/>
  <c r="E30" i="14"/>
  <c r="G31" i="14"/>
  <c r="E248" i="15"/>
  <c r="AL47" i="18" l="1"/>
  <c r="AM48" i="18"/>
  <c r="E29" i="14"/>
  <c r="G30" i="14"/>
  <c r="E247" i="15"/>
  <c r="E246" i="15"/>
  <c r="AL46" i="18" l="1"/>
  <c r="AM47" i="18"/>
  <c r="E28" i="14"/>
  <c r="G29" i="14"/>
  <c r="E245" i="15"/>
  <c r="AM46" i="18" l="1"/>
  <c r="AL45" i="18"/>
  <c r="E27" i="14"/>
  <c r="G28" i="14"/>
  <c r="N15" i="33"/>
  <c r="E244" i="15"/>
  <c r="AL44" i="18" l="1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L43" i="18" l="1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M43" i="18" l="1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L41" i="18" l="1"/>
  <c r="AM42" i="18"/>
  <c r="E23" i="14"/>
  <c r="G24" i="14"/>
  <c r="H25" i="43"/>
  <c r="G2" i="43"/>
  <c r="G25" i="43" s="1"/>
  <c r="G30" i="43" s="1"/>
  <c r="H30" i="43" s="1"/>
  <c r="AM41" i="18" l="1"/>
  <c r="AL40" i="18"/>
  <c r="E22" i="14"/>
  <c r="G23" i="14"/>
  <c r="I2" i="43"/>
  <c r="I25" i="43" s="1"/>
  <c r="I30" i="43" s="1"/>
  <c r="D24" i="43"/>
  <c r="AL39" i="18" l="1"/>
  <c r="AM40" i="18"/>
  <c r="E21" i="14"/>
  <c r="E20" i="14" s="1"/>
  <c r="E19" i="14" s="1"/>
  <c r="E18" i="14" s="1"/>
  <c r="G22" i="14"/>
  <c r="E243" i="15"/>
  <c r="AM39" i="18" l="1"/>
  <c r="AL38" i="18"/>
  <c r="E242" i="15"/>
  <c r="AL37" i="18" l="1"/>
  <c r="AM38" i="18"/>
  <c r="J57" i="33"/>
  <c r="J55" i="33"/>
  <c r="J54" i="33"/>
  <c r="AL36" i="18" l="1"/>
  <c r="AM37" i="18"/>
  <c r="L57" i="33"/>
  <c r="E241" i="15"/>
  <c r="AM36" i="18" l="1"/>
  <c r="AL35" i="18"/>
  <c r="D168" i="20"/>
  <c r="AL34" i="18" l="1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L33" i="18" l="1"/>
  <c r="AM34" i="18"/>
  <c r="D252" i="15"/>
  <c r="F253" i="15"/>
  <c r="AL32" i="18" l="1"/>
  <c r="AM33" i="18"/>
  <c r="D251" i="15"/>
  <c r="F252" i="15"/>
  <c r="AL31" i="18" l="1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L30" i="18" l="1"/>
  <c r="AM31" i="18"/>
  <c r="D249" i="15"/>
  <c r="F250" i="15"/>
  <c r="L60" i="32"/>
  <c r="L48" i="32"/>
  <c r="AL29" i="18" l="1"/>
  <c r="AM30" i="18"/>
  <c r="F249" i="15"/>
  <c r="D248" i="15"/>
  <c r="AM29" i="18" l="1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L26" i="18" l="1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25" i="18" l="1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L24" i="18" l="1"/>
  <c r="AM25" i="18"/>
  <c r="E178" i="13"/>
  <c r="G179" i="13"/>
  <c r="D243" i="15"/>
  <c r="F244" i="15"/>
  <c r="AM24" i="18" l="1"/>
  <c r="AL23" i="18"/>
  <c r="E177" i="13"/>
  <c r="G178" i="13"/>
  <c r="F243" i="15"/>
  <c r="D242" i="15"/>
  <c r="AM23" i="18" l="1"/>
  <c r="AL22" i="18"/>
  <c r="E176" i="13"/>
  <c r="G177" i="13"/>
  <c r="F242" i="15"/>
  <c r="D241" i="15"/>
  <c r="D165" i="20"/>
  <c r="AL21" i="18" l="1"/>
  <c r="AL20" i="18" s="1"/>
  <c r="AM22" i="18"/>
  <c r="E175" i="13"/>
  <c r="G176" i="13"/>
  <c r="F241" i="15"/>
  <c r="D240" i="15"/>
  <c r="D164" i="20"/>
  <c r="AM21" i="18" l="1"/>
  <c r="AM20" i="18"/>
  <c r="AM97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AN97" i="18" l="1"/>
  <c r="AJ102" i="18" s="1"/>
  <c r="AJ106" i="18" s="1"/>
  <c r="E172" i="13"/>
  <c r="G173" i="13"/>
  <c r="D237" i="15"/>
  <c r="F238" i="15"/>
  <c r="D62" i="38"/>
  <c r="AJ105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12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61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2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1" i="18" s="1"/>
  <c r="L62" i="18" l="1"/>
  <c r="F22" i="18"/>
  <c r="E33" i="13"/>
  <c r="G34" i="13"/>
  <c r="I97" i="20"/>
  <c r="K97" i="20"/>
  <c r="J97" i="20"/>
  <c r="F108" i="15"/>
  <c r="C20" i="18"/>
  <c r="G20" i="14"/>
  <c r="G21" i="14"/>
  <c r="L63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85" i="18" l="1"/>
  <c r="V85" i="18" s="1"/>
  <c r="U88" i="18"/>
  <c r="V88" i="18" s="1"/>
</calcChain>
</file>

<file path=xl/sharedStrings.xml><?xml version="1.0" encoding="utf-8"?>
<sst xmlns="http://schemas.openxmlformats.org/spreadsheetml/2006/main" count="9668" uniqueCount="4553">
  <si>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</si>
  <si>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</si>
  <si>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</si>
  <si>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</si>
  <si>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</si>
  <si>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</si>
  <si>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</si>
  <si>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</si>
  <si>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</si>
  <si>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</si>
  <si>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</si>
  <si>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</si>
  <si>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</si>
  <si>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</si>
  <si>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</si>
  <si>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</si>
  <si>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</si>
  <si>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</si>
  <si>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</si>
  <si>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</si>
  <si>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</si>
  <si>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</si>
  <si>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</si>
  <si>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</si>
  <si>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</si>
  <si>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</si>
  <si>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</si>
  <si>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</si>
  <si>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</si>
  <si>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</si>
  <si>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</si>
  <si>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</si>
  <si>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</si>
  <si>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</si>
  <si>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</si>
  <si>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</si>
  <si>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</si>
  <si>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</si>
  <si>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</si>
  <si>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</si>
  <si>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</si>
  <si>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</si>
  <si>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</si>
  <si>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</si>
  <si>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</si>
  <si>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</si>
  <si>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</si>
  <si>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</si>
  <si>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</si>
  <si>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</si>
  <si>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</si>
  <si>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</si>
  <si>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</si>
  <si>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</si>
  <si>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</si>
  <si>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</si>
  <si>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</si>
  <si>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</si>
  <si>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</si>
  <si>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</si>
  <si>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</si>
  <si>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</si>
  <si>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</si>
  <si>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</si>
  <si>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</si>
  <si>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</si>
  <si>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</si>
  <si>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</si>
  <si>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</si>
  <si>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</si>
  <si>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</si>
  <si>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</si>
  <si>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</si>
  <si>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</si>
  <si>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</si>
  <si>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</si>
  <si>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</si>
  <si>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</si>
  <si>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</si>
  <si>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</si>
  <si>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</si>
  <si>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</si>
  <si>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</si>
  <si>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</si>
  <si>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</si>
  <si>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</si>
  <si>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</si>
  <si>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</si>
  <si>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</si>
  <si>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</si>
  <si>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</si>
  <si>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</si>
  <si>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</si>
  <si>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</si>
  <si>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</si>
  <si>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</si>
  <si>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</si>
  <si>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</si>
  <si>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</si>
  <si>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</si>
  <si>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</si>
  <si>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</si>
  <si>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</si>
  <si>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</si>
  <si>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</si>
  <si>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</si>
  <si>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</si>
  <si>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</si>
  <si>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</si>
  <si>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</si>
  <si>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</si>
  <si>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</si>
  <si>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</si>
  <si>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</si>
  <si>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</si>
  <si>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</si>
  <si>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</si>
  <si>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</si>
  <si>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</si>
  <si>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</si>
  <si>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</si>
  <si>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</si>
  <si>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</si>
  <si>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</si>
  <si>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</si>
  <si>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</si>
  <si>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</si>
  <si>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</si>
  <si>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</si>
  <si>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</si>
  <si>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</si>
  <si>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</si>
  <si>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</si>
  <si>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</si>
  <si>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</si>
  <si>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</si>
  <si>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</si>
  <si>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</si>
  <si>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</si>
  <si>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</si>
  <si>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</si>
  <si>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</si>
  <si>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</si>
  <si>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</si>
  <si>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</si>
  <si>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</si>
  <si>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</si>
  <si>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</si>
  <si>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</si>
  <si>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</si>
  <si>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</si>
  <si>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</si>
  <si>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</si>
  <si>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</si>
  <si>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</si>
  <si>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</si>
  <si>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</si>
  <si>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</si>
  <si>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</si>
  <si>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</si>
  <si>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</si>
  <si>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</si>
  <si>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</si>
  <si>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</si>
  <si>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</si>
  <si>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</si>
  <si>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</si>
  <si>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</si>
  <si>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</si>
  <si>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</si>
  <si>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</si>
  <si>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</si>
  <si>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</si>
  <si>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</si>
  <si>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</si>
  <si>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</si>
  <si>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</si>
  <si>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</si>
  <si>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</si>
  <si>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</si>
  <si>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</si>
  <si>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</si>
  <si>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</si>
  <si>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</si>
  <si>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</si>
  <si>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</si>
  <si>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</si>
  <si>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</si>
  <si>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</si>
  <si>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</si>
  <si>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</si>
  <si>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</si>
  <si>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</si>
  <si>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</si>
  <si>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</si>
  <si>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</si>
  <si>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</si>
  <si>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</si>
  <si>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</si>
  <si>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</si>
  <si>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</si>
  <si>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</si>
  <si>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</si>
  <si>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</si>
  <si>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</si>
  <si>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</si>
  <si>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</si>
  <si>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</si>
  <si>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</si>
  <si>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</si>
  <si>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</si>
  <si>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</si>
  <si>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</si>
  <si>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</si>
  <si>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</si>
  <si>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</si>
  <si>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</si>
  <si>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</si>
  <si>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</si>
  <si>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</si>
  <si>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</si>
  <si>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</si>
  <si>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</si>
  <si>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</si>
  <si>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</si>
  <si>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</si>
  <si>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</si>
  <si>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</si>
  <si>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</si>
  <si>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</si>
  <si>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</si>
  <si>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</si>
  <si>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</si>
  <si>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</si>
  <si>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</si>
  <si>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</si>
  <si>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</si>
  <si>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</si>
  <si>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</si>
  <si>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</si>
  <si>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</si>
  <si>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</si>
  <si>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</si>
  <si>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</si>
  <si>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</si>
  <si>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</si>
  <si>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</si>
  <si>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</si>
  <si>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</si>
  <si>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</si>
  <si>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</si>
  <si>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</si>
  <si>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</si>
  <si>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</si>
  <si>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</si>
  <si>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</si>
  <si>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</si>
  <si>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</si>
  <si>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</si>
  <si>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</si>
  <si>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</si>
  <si>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</si>
  <si>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</si>
  <si>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</si>
  <si>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</si>
  <si>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</si>
  <si>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</si>
  <si>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</si>
  <si>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</si>
  <si>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</si>
  <si>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</si>
  <si>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</si>
  <si>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</si>
  <si>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</si>
  <si>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</si>
  <si>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</si>
  <si>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</si>
  <si>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</si>
  <si>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</si>
  <si>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</si>
  <si>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</si>
  <si>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</si>
  <si>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</si>
  <si>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</si>
  <si>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</si>
  <si>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</si>
  <si>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</si>
  <si>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</si>
  <si>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</si>
  <si>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</si>
  <si>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</si>
  <si>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</si>
  <si>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</si>
  <si>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</si>
  <si>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</si>
  <si>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</si>
  <si>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</si>
  <si>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</si>
  <si>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</si>
  <si>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</si>
  <si>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</si>
  <si>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</si>
  <si>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</si>
  <si>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</si>
  <si>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</si>
  <si>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</si>
  <si>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</si>
  <si>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</si>
  <si>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</si>
  <si>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</si>
  <si>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</si>
  <si>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</si>
  <si>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</si>
  <si>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</si>
  <si>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</si>
  <si>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</si>
  <si>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</si>
  <si>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</si>
  <si>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</si>
  <si>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</si>
  <si>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</si>
  <si>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</si>
  <si>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</si>
  <si>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</si>
  <si>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</si>
  <si>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</si>
  <si>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</si>
  <si>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</si>
  <si>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</si>
  <si>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</si>
  <si>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</si>
  <si>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</si>
  <si>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</si>
  <si>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</si>
  <si>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</si>
  <si>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</si>
  <si>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</si>
  <si>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</si>
  <si>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</si>
  <si>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</si>
  <si>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</si>
  <si>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</si>
  <si>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</si>
  <si>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</si>
  <si>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</si>
  <si>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</si>
  <si>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</si>
  <si>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</si>
  <si>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</si>
  <si>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</si>
  <si>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</si>
  <si>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</si>
  <si>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</si>
  <si>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</si>
  <si>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</si>
  <si>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</si>
  <si>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</si>
  <si>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</si>
  <si>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</si>
  <si>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</si>
  <si>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</si>
  <si>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</si>
  <si>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</si>
  <si>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</si>
  <si>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</si>
  <si>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</si>
  <si>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</si>
  <si>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</si>
  <si>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</si>
  <si>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</si>
  <si>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</si>
  <si>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</si>
  <si>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</si>
  <si>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</si>
  <si>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</si>
  <si>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</si>
  <si>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</si>
  <si>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</si>
  <si>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</si>
  <si>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</si>
  <si>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</si>
  <si>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</si>
  <si>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</si>
  <si>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</si>
  <si>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</si>
  <si>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</si>
  <si>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</si>
  <si>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</si>
  <si>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</si>
  <si>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</si>
  <si>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</si>
  <si>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</si>
  <si>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</si>
  <si>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</si>
  <si>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</si>
  <si>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</si>
  <si>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</si>
  <si>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</si>
  <si>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</si>
  <si>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</si>
  <si>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</si>
  <si>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</si>
  <si>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</si>
  <si>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</si>
  <si>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</si>
  <si>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</si>
  <si>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</si>
  <si>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</si>
  <si>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</si>
  <si>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</si>
  <si>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</si>
  <si>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</si>
  <si>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</si>
  <si>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</si>
  <si>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</si>
  <si>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</si>
  <si>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</si>
  <si>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</si>
  <si>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</si>
  <si>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</si>
  <si>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</si>
  <si>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</si>
  <si>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</si>
  <si>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</si>
  <si>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</si>
  <si>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</si>
  <si>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</si>
  <si>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</si>
  <si>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</si>
  <si>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</si>
  <si>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</si>
  <si>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</si>
  <si>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</si>
  <si>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</si>
  <si>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</si>
  <si>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</si>
  <si>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</si>
  <si>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</si>
  <si>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</si>
  <si>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</si>
  <si>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</si>
  <si>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</si>
  <si>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</si>
  <si>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</si>
  <si>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</si>
  <si>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</si>
  <si>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</si>
  <si>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</si>
  <si>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</si>
  <si>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</si>
  <si>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</si>
  <si>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</si>
  <si>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</si>
  <si>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</si>
  <si>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</si>
  <si>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</si>
  <si>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</si>
  <si>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</si>
  <si>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</si>
  <si>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</si>
  <si>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</si>
  <si>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</si>
  <si>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</si>
  <si>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</si>
  <si>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</si>
  <si>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</si>
  <si>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</si>
  <si>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</si>
  <si>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</si>
  <si>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</si>
  <si>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</si>
  <si>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</si>
  <si>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</si>
  <si>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</si>
  <si>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</si>
  <si>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</si>
  <si>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</si>
  <si>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</si>
  <si>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</si>
  <si>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</si>
  <si>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</si>
  <si>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</si>
  <si>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</si>
  <si>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</si>
  <si>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</si>
  <si>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</si>
  <si>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</si>
  <si>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</si>
  <si>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</si>
  <si>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</si>
  <si>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</si>
  <si>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</si>
  <si>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</si>
  <si>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</si>
  <si>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</si>
  <si>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</si>
  <si>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</si>
  <si>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</si>
  <si>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</si>
  <si>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</si>
  <si>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</si>
  <si>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</si>
  <si>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</si>
  <si>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</si>
  <si>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</si>
  <si>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</si>
  <si>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</si>
  <si>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</si>
  <si>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</si>
  <si>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</si>
  <si>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</si>
  <si>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</si>
  <si>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</si>
  <si>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</si>
  <si>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</si>
  <si>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</si>
  <si>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</si>
  <si>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</si>
  <si>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</si>
  <si>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</si>
  <si>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</si>
  <si>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</si>
  <si>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</si>
  <si>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</si>
  <si>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</si>
  <si>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</si>
  <si>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</si>
  <si>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</si>
  <si>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</si>
  <si>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</si>
  <si>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</si>
  <si>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</si>
  <si>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</si>
  <si>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</si>
  <si>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</si>
  <si>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</si>
  <si>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</si>
  <si>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</si>
  <si>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</si>
  <si>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</si>
  <si>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</si>
  <si>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</si>
  <si>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</si>
  <si>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</si>
  <si>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</si>
  <si>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</si>
  <si>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</si>
  <si>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</si>
  <si>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</si>
  <si>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</si>
  <si>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</si>
  <si>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</si>
  <si>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</si>
  <si>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</si>
  <si>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</si>
  <si>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</si>
  <si>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</si>
  <si>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</si>
  <si>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</si>
  <si>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</si>
  <si>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</si>
  <si>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</si>
  <si>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</si>
  <si>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</si>
  <si>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</si>
  <si>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</si>
  <si>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</si>
  <si>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</si>
  <si>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</si>
  <si>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</si>
  <si>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</si>
  <si>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</si>
  <si>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</si>
  <si>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</si>
  <si>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</si>
  <si>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</si>
  <si>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</si>
  <si>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</si>
  <si>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</si>
  <si>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</si>
  <si>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</si>
  <si>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</si>
  <si>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</si>
  <si>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</si>
  <si>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</si>
  <si>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</si>
  <si>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</si>
  <si>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</si>
  <si>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</si>
  <si>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</si>
  <si>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</si>
  <si>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</si>
  <si>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</si>
  <si>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</si>
  <si>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</si>
  <si>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</si>
  <si>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</si>
  <si>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</si>
  <si>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</si>
  <si>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</si>
  <si>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</si>
  <si>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</si>
  <si>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</si>
  <si>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</si>
  <si>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</si>
  <si>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</si>
  <si>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</si>
  <si>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</si>
  <si>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</si>
  <si>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</si>
  <si>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</si>
  <si>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</si>
  <si>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</si>
  <si>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</si>
  <si>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</si>
  <si>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</si>
  <si>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</si>
  <si>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</si>
  <si>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</si>
  <si>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</si>
  <si>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</si>
  <si>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</si>
  <si>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</si>
  <si>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</si>
  <si>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</si>
  <si>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</si>
  <si>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</si>
  <si>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</si>
  <si>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</si>
  <si>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</si>
  <si>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</si>
  <si>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</si>
  <si>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</si>
  <si>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</si>
  <si>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</si>
  <si>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</si>
  <si>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</si>
  <si>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</si>
  <si>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</si>
  <si>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</si>
  <si>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</si>
  <si>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</si>
  <si>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</si>
  <si>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</si>
  <si>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</si>
  <si>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</si>
  <si>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</si>
  <si>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</si>
  <si>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</si>
  <si>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</si>
  <si>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</si>
  <si>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</si>
  <si>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</si>
  <si>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</si>
  <si>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</si>
  <si>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</si>
  <si>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</si>
  <si>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</si>
  <si>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</si>
  <si>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</si>
  <si>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</si>
  <si>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</si>
  <si>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</si>
  <si>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</si>
  <si>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</si>
  <si>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</si>
  <si>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</si>
  <si>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</si>
  <si>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</si>
  <si>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</si>
  <si>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</si>
  <si>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</si>
  <si>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</si>
  <si>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</si>
  <si>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</si>
  <si>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</si>
  <si>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</si>
  <si>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</si>
  <si>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</si>
  <si>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</si>
  <si>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</si>
  <si>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</si>
  <si>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</si>
  <si>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</si>
  <si>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</si>
  <si>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</si>
  <si>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</si>
  <si>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</si>
  <si>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</si>
  <si>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</si>
  <si>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</si>
  <si>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</si>
  <si>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</si>
  <si>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</si>
  <si>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</si>
  <si>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</si>
  <si>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</si>
  <si>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</si>
  <si>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</si>
  <si>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</si>
  <si>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</si>
  <si>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</si>
  <si>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</si>
  <si>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</si>
  <si>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</si>
  <si>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</si>
  <si>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</si>
  <si>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</si>
  <si>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</si>
  <si>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</si>
  <si>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</si>
  <si>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</si>
  <si>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</si>
  <si>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</si>
  <si>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</si>
  <si>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</si>
  <si>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</si>
  <si>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</si>
  <si>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</si>
  <si>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</si>
  <si>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</si>
  <si>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</si>
  <si>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</si>
  <si>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</si>
  <si>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</si>
  <si>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</si>
  <si>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</si>
  <si>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</si>
  <si>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</si>
  <si>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</si>
  <si>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</si>
  <si>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</si>
  <si>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</si>
  <si>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</si>
  <si>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</si>
  <si>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</si>
  <si>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</si>
  <si>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</si>
  <si>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</si>
  <si>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</si>
  <si>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</si>
  <si>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</si>
  <si>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</si>
  <si>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</si>
  <si>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</si>
  <si>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</si>
  <si>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</si>
  <si>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</si>
  <si>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</si>
  <si>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</si>
  <si>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</si>
  <si>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</si>
  <si>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</si>
  <si>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</si>
  <si>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</si>
  <si>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</si>
  <si>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</si>
  <si>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</si>
  <si>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</si>
  <si>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</si>
  <si>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</si>
  <si>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</si>
  <si>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</si>
  <si>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</si>
  <si>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</si>
  <si>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</si>
  <si>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</si>
  <si>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</si>
  <si>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</si>
  <si>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</si>
  <si>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</si>
  <si>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</si>
  <si>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</si>
  <si>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</si>
  <si>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</si>
  <si>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</si>
  <si>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</si>
  <si>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</si>
  <si>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</si>
  <si>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</si>
  <si>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</si>
  <si>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</si>
  <si>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</si>
  <si>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</si>
  <si>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</si>
  <si>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</si>
  <si>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</si>
  <si>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</si>
  <si>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</si>
  <si>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</si>
  <si>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</si>
  <si>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</si>
  <si>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</si>
  <si>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</si>
  <si>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</si>
  <si>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</si>
  <si>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</si>
  <si>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</si>
  <si>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</si>
  <si>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</si>
  <si>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</si>
  <si>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</si>
  <si>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</si>
  <si>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</si>
  <si>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</si>
  <si>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</si>
  <si>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</si>
  <si>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</si>
  <si>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</si>
  <si>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</si>
  <si>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</si>
  <si>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</si>
  <si>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</si>
  <si>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</si>
  <si>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</si>
  <si>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</si>
  <si>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</si>
  <si>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</si>
  <si>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</si>
  <si>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</si>
  <si>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</si>
  <si>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</si>
  <si>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</si>
  <si>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</si>
  <si>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</si>
  <si>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</si>
  <si>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</si>
  <si>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</si>
  <si>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</si>
  <si>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</si>
  <si>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</si>
  <si>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</si>
  <si>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</si>
  <si>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</si>
  <si>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</si>
  <si>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</si>
  <si>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</si>
  <si>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</si>
  <si>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</si>
  <si>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</si>
  <si>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</si>
  <si>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</si>
  <si>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</si>
  <si>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</si>
  <si>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</si>
  <si>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</si>
  <si>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</si>
  <si>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</si>
  <si>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</si>
  <si>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</si>
  <si>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</si>
  <si>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</si>
  <si>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</si>
  <si>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</si>
  <si>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</si>
  <si>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</si>
  <si>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</si>
  <si>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</si>
  <si>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</si>
  <si>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</si>
  <si>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</si>
  <si>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</si>
  <si>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</si>
  <si>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</si>
  <si>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</si>
  <si>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</si>
  <si>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</si>
  <si>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</si>
  <si>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</si>
  <si>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</si>
  <si>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</si>
  <si>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</si>
  <si>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</si>
  <si>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</si>
  <si>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</si>
  <si>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</si>
  <si>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</si>
  <si>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</si>
  <si>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</si>
  <si>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</si>
  <si>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</si>
  <si>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</si>
  <si>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</si>
  <si>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</si>
  <si>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</si>
  <si>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</si>
  <si>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</si>
  <si>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</si>
  <si>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</si>
  <si>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</si>
  <si>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</si>
  <si>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</si>
  <si>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</si>
  <si>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</si>
  <si>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</si>
  <si>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</si>
  <si>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</si>
  <si>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</si>
  <si>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</si>
  <si>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</si>
  <si>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</si>
  <si>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</si>
  <si>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</si>
  <si>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</si>
  <si>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</si>
  <si>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</si>
  <si>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</si>
  <si>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</si>
  <si>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</si>
  <si>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</si>
  <si>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</si>
  <si>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</si>
  <si>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</si>
  <si>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</si>
  <si>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</si>
  <si>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</si>
  <si>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</si>
  <si>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</si>
  <si>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</si>
  <si>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</si>
  <si>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</si>
  <si>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</si>
  <si>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</si>
  <si>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</si>
  <si>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</si>
  <si>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</si>
  <si>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</si>
  <si>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</si>
  <si>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</si>
  <si>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</si>
  <si>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</si>
  <si>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</si>
  <si>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</si>
  <si>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</si>
  <si>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</si>
  <si>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</si>
  <si>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</si>
  <si>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</si>
  <si>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</si>
  <si>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</si>
  <si>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</si>
  <si>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</si>
  <si>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</si>
  <si>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</si>
  <si>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</si>
  <si>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</si>
  <si>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</si>
  <si>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</si>
  <si>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</si>
  <si>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</si>
  <si>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</si>
  <si>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</si>
  <si>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</si>
  <si>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</si>
  <si>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</si>
  <si>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</si>
  <si>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</si>
  <si>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</si>
  <si>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</si>
  <si>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</si>
  <si>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</si>
  <si>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</si>
  <si>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</si>
  <si>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</si>
  <si>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</si>
  <si>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</si>
  <si>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</si>
  <si>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</si>
  <si>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</si>
  <si>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</si>
  <si>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</si>
  <si>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</si>
  <si>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</si>
  <si>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</si>
  <si>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</si>
  <si>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</si>
  <si>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</si>
  <si>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</si>
  <si>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</si>
  <si>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</si>
  <si>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</si>
  <si>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</si>
  <si>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</si>
  <si>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</si>
  <si>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</si>
  <si>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</si>
  <si>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</si>
  <si>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</si>
  <si>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</si>
  <si>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</si>
  <si>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</si>
  <si>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</si>
  <si>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</si>
  <si>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</si>
  <si>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</si>
  <si>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</si>
  <si>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</si>
  <si>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</si>
  <si>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</si>
  <si>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</si>
  <si>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</si>
  <si>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</si>
  <si>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</si>
  <si>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</si>
  <si>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</si>
  <si>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</si>
  <si>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</si>
  <si>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</si>
  <si>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</si>
  <si>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</si>
  <si>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</si>
  <si>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</si>
  <si>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</si>
  <si>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</si>
  <si>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</si>
  <si>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</si>
  <si>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</si>
  <si>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</si>
  <si>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</si>
  <si>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</si>
  <si>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</si>
  <si>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</si>
  <si>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</si>
  <si>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</si>
  <si>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</si>
  <si>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</si>
  <si>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</si>
  <si>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</si>
  <si>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</si>
  <si>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</si>
  <si>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</si>
  <si>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</si>
  <si>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</si>
  <si>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</si>
  <si>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</si>
  <si>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</si>
  <si>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</si>
  <si>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</si>
  <si>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</si>
  <si>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</si>
  <si>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</si>
  <si>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</si>
  <si>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</si>
  <si>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</si>
  <si>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</si>
  <si>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</si>
  <si>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</si>
  <si>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</si>
  <si>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</si>
  <si>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</si>
  <si>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</si>
  <si>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</si>
  <si>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</si>
  <si>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</si>
  <si>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</si>
  <si>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</si>
  <si>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</si>
  <si>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</si>
  <si>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</si>
  <si>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</si>
  <si>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</si>
  <si>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</si>
  <si>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</si>
  <si>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</si>
  <si>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</si>
  <si>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</si>
  <si>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</si>
  <si>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</si>
  <si>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</si>
  <si>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</si>
  <si>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</si>
  <si>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</si>
  <si>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</si>
  <si>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</si>
  <si>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</si>
  <si>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</si>
  <si>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</si>
  <si>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</si>
  <si>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</si>
  <si>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</si>
  <si>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</si>
  <si>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</si>
  <si>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</si>
  <si>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</si>
  <si>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</si>
  <si>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</si>
  <si>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</si>
  <si>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</si>
  <si>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</si>
  <si>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</si>
  <si>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</si>
  <si>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</si>
  <si>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</si>
  <si>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</si>
  <si>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</si>
  <si>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</si>
  <si>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</si>
  <si>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</si>
  <si>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</si>
  <si>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</si>
  <si>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</si>
  <si>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</si>
  <si>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</si>
  <si>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</si>
  <si>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</si>
  <si>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</si>
  <si>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</si>
  <si>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</si>
  <si>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</si>
  <si>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</si>
  <si>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</si>
  <si>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</si>
  <si>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</si>
  <si>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</si>
  <si>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</si>
  <si>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</si>
  <si>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</si>
  <si>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</si>
  <si>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</si>
  <si>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</si>
  <si>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</si>
  <si>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</si>
  <si>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</si>
  <si>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</si>
  <si>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</si>
  <si>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</si>
  <si>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</si>
  <si>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</si>
  <si>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</si>
  <si>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</si>
  <si>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</si>
  <si>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</si>
  <si>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</si>
  <si>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</si>
  <si>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</si>
  <si>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</si>
  <si>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</si>
  <si>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</si>
  <si>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</si>
  <si>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</si>
  <si>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</si>
  <si>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</si>
  <si>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</si>
  <si>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</si>
  <si>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</si>
  <si>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</si>
  <si>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</si>
  <si>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</si>
  <si>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</si>
  <si>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</si>
  <si>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</si>
  <si>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</si>
  <si>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</si>
  <si>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</si>
  <si>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</si>
  <si>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</si>
  <si>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</si>
  <si>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</si>
  <si>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</si>
  <si>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</si>
  <si>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</si>
  <si>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</si>
  <si>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</si>
  <si>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</si>
  <si>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</si>
  <si>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</si>
  <si>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</si>
  <si>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</si>
  <si>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</si>
  <si>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</si>
  <si>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</si>
  <si>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</si>
  <si>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</si>
  <si>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</si>
  <si>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</si>
  <si>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</si>
  <si>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</si>
  <si>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</si>
  <si>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</si>
  <si>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</si>
  <si>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</si>
  <si>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</si>
  <si>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</si>
  <si>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</si>
  <si>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</si>
  <si>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</si>
  <si>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</si>
  <si>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</si>
  <si>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</si>
  <si>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</si>
  <si>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</si>
  <si>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</si>
  <si>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</si>
  <si>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</si>
  <si>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</si>
  <si>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</si>
  <si>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</si>
  <si>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</si>
  <si>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</si>
  <si>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</si>
  <si>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</si>
  <si>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</si>
  <si>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</si>
  <si>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</si>
  <si>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</si>
  <si>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</si>
  <si>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</si>
  <si>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</si>
  <si>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</si>
  <si>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</si>
  <si>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</si>
  <si>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</si>
  <si>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</si>
  <si>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</si>
  <si>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</si>
  <si>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</si>
  <si>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</si>
  <si>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</si>
  <si>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</si>
  <si>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</si>
  <si>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</si>
  <si>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</si>
  <si>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</si>
  <si>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</si>
  <si>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</si>
  <si>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</si>
  <si>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</si>
  <si>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</si>
  <si>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</si>
  <si>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</si>
  <si>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</si>
  <si>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</si>
  <si>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</si>
  <si>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</si>
  <si>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</si>
  <si>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</si>
  <si>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</si>
  <si>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</si>
  <si>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</si>
  <si>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</si>
  <si>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</si>
  <si>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</si>
  <si>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</si>
  <si>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</si>
  <si>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</si>
  <si>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</si>
  <si>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</si>
  <si>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</si>
  <si>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</si>
  <si>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</si>
  <si>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</si>
  <si>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</si>
  <si>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</si>
  <si>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</si>
  <si>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</si>
  <si>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</si>
  <si>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</si>
  <si>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</si>
  <si>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</si>
  <si>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</si>
  <si>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</si>
  <si>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</si>
  <si>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</si>
  <si>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</si>
  <si>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</si>
  <si>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</si>
  <si>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</si>
  <si>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</si>
  <si>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</si>
  <si>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</si>
  <si>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</si>
  <si>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</si>
  <si>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</si>
  <si>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</si>
  <si>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</si>
  <si>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</si>
  <si>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</si>
  <si>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</si>
  <si>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</si>
  <si>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</si>
  <si>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</si>
  <si>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</si>
  <si>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</si>
  <si>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</si>
  <si>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</si>
  <si>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</si>
  <si>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</si>
  <si>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</si>
  <si>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</si>
  <si>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</si>
  <si>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</si>
  <si>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</si>
  <si>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</si>
  <si>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</si>
  <si>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</si>
  <si>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</si>
  <si>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</si>
  <si>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</si>
  <si>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</si>
  <si>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</si>
  <si>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</si>
  <si>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</si>
  <si>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</si>
  <si>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</si>
  <si>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</si>
  <si>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</si>
  <si>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</si>
  <si>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</si>
  <si>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</si>
  <si>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</si>
  <si>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</si>
  <si>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</si>
  <si>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</si>
  <si>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</si>
  <si>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</si>
  <si>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</si>
  <si>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</si>
  <si>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</si>
  <si>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</si>
  <si>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</si>
  <si>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</si>
  <si>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</si>
  <si>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</si>
  <si>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</si>
  <si>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</si>
  <si>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</si>
  <si>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</si>
  <si>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</si>
  <si>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</si>
  <si>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</si>
  <si>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</si>
  <si>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</si>
  <si>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</si>
  <si>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</si>
  <si>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</si>
  <si>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</si>
  <si>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</si>
  <si>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</si>
  <si>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</si>
  <si>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</si>
  <si>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</si>
  <si>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</si>
  <si>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</si>
  <si>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</si>
  <si>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</si>
  <si>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</si>
  <si>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</si>
  <si>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</si>
  <si>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</si>
  <si>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</si>
  <si>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</si>
  <si>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</si>
  <si>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</si>
  <si>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</si>
  <si>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</si>
  <si>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</si>
  <si>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</si>
  <si>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</si>
  <si>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</si>
  <si>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</si>
  <si>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</si>
  <si>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</si>
  <si>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</si>
  <si>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</si>
  <si>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</si>
  <si>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</si>
  <si>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</si>
  <si>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</si>
  <si>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</si>
  <si>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</si>
  <si>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</si>
  <si>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</si>
  <si>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</si>
  <si>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</si>
  <si>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</si>
  <si>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</si>
  <si>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</si>
  <si>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</si>
  <si>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</si>
  <si>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</si>
  <si>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</si>
  <si>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</si>
  <si>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</si>
  <si>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</si>
  <si>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</si>
  <si>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</si>
  <si>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</si>
  <si>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</si>
  <si>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</si>
  <si>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</si>
  <si>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</si>
  <si>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</si>
  <si>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</si>
  <si>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</si>
  <si>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</si>
  <si>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</si>
  <si>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</si>
  <si>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</si>
  <si>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</si>
  <si>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</si>
  <si>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</si>
  <si>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</si>
  <si>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</si>
  <si>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</si>
  <si>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</si>
  <si>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</si>
  <si>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</si>
  <si>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</si>
  <si>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</si>
  <si>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</si>
  <si>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</si>
  <si>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</si>
  <si>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</si>
  <si>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</si>
  <si>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</si>
  <si>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</si>
  <si>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</si>
  <si>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</si>
  <si>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</si>
  <si>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</si>
  <si>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</si>
  <si>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</si>
  <si>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</si>
  <si>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</si>
  <si>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</si>
  <si>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</si>
  <si>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</si>
  <si>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</si>
  <si>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</si>
  <si>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</si>
  <si>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</si>
  <si>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</si>
  <si>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</si>
  <si>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</si>
  <si>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</si>
  <si>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</si>
  <si>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</si>
  <si>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</si>
  <si>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</si>
  <si>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</si>
  <si>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</si>
  <si>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</si>
  <si>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</si>
  <si>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</si>
  <si>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</si>
  <si>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</si>
  <si>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</si>
  <si>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</si>
  <si>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</si>
  <si>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</si>
  <si>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</si>
  <si>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</si>
  <si>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</si>
  <si>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</si>
  <si>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</si>
  <si>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</si>
  <si>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</si>
  <si>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</si>
  <si>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</si>
  <si>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</si>
  <si>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</si>
  <si>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</si>
  <si>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</si>
  <si>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</si>
  <si>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</si>
  <si>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</si>
  <si>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</si>
  <si>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</si>
  <si>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</si>
  <si>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</si>
  <si>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</si>
  <si>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</si>
  <si>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</si>
  <si>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</si>
  <si>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</si>
  <si>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</si>
  <si>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</si>
  <si>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</si>
  <si>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</si>
  <si>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</si>
  <si>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</si>
  <si>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</si>
  <si>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</si>
  <si>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</si>
  <si>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</si>
  <si>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</si>
  <si>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</si>
  <si>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</si>
  <si>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</si>
  <si>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</si>
  <si>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</si>
  <si>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</si>
  <si>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</si>
  <si>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</si>
  <si>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</si>
  <si>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</si>
  <si>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</si>
  <si>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</si>
  <si>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</si>
  <si>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</si>
  <si>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</si>
  <si>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</si>
  <si>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</si>
  <si>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</si>
  <si>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</si>
  <si>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</si>
  <si>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</si>
  <si>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</si>
  <si>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</si>
  <si>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</si>
  <si>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</si>
  <si>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</si>
  <si>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</si>
  <si>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</si>
  <si>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</si>
  <si>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</si>
  <si>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</si>
  <si>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</si>
  <si>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</si>
  <si>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</si>
  <si>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</si>
  <si>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</si>
  <si>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</si>
  <si>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</si>
  <si>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</si>
  <si>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</si>
  <si>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</si>
  <si>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</si>
  <si>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</si>
  <si>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</si>
  <si>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</si>
  <si>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</si>
  <si>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</si>
  <si>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</si>
  <si>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</si>
  <si>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</si>
  <si>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</si>
  <si>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</si>
  <si>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</si>
  <si>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</si>
  <si>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</si>
  <si>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</si>
  <si>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</si>
  <si>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</si>
  <si>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</si>
  <si>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</si>
  <si>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</si>
  <si>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</si>
  <si>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</si>
  <si>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</si>
  <si>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</si>
  <si>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</si>
  <si>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</si>
  <si>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</si>
  <si>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</si>
  <si>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</si>
  <si>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</si>
  <si>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</si>
  <si>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</si>
  <si>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</si>
  <si>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</si>
  <si>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</si>
  <si>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</si>
  <si>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</si>
  <si>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</si>
  <si>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</si>
  <si>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</si>
  <si>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</si>
  <si>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</si>
  <si>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</si>
  <si>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</si>
  <si>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</si>
  <si>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</si>
  <si>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</si>
  <si>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</si>
  <si>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</si>
  <si>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</si>
  <si>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</si>
  <si>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</si>
  <si>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</si>
  <si>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</si>
  <si>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</si>
  <si>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</si>
  <si>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</si>
  <si>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</si>
  <si>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</si>
  <si>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</si>
  <si>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</si>
  <si>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</si>
  <si>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</si>
  <si>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</si>
  <si>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</si>
  <si>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</si>
  <si>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</si>
  <si>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</si>
  <si>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</si>
  <si>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</si>
  <si>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</si>
  <si>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</si>
  <si>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</si>
  <si>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</si>
  <si>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</si>
  <si>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</si>
  <si>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</si>
  <si>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</si>
  <si>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</si>
  <si>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</si>
  <si>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</si>
  <si>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</si>
  <si>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</si>
  <si>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</si>
  <si>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</si>
  <si>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</si>
  <si>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</si>
  <si>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</si>
  <si>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</si>
  <si>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</si>
  <si>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</si>
  <si>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</si>
  <si>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</si>
  <si>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</si>
  <si>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</si>
  <si>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</si>
  <si>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</si>
  <si>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</si>
  <si>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</si>
  <si>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</si>
  <si>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</si>
  <si>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</si>
  <si>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</si>
  <si>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</si>
  <si>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</si>
  <si>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</si>
  <si>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</si>
  <si>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</si>
  <si>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</si>
  <si>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</si>
  <si>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</si>
  <si>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</si>
  <si>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</si>
  <si>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</si>
  <si>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</si>
  <si>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</si>
  <si>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</si>
  <si>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</si>
  <si>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</si>
  <si>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</si>
  <si>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</si>
  <si>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</si>
  <si>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</si>
  <si>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</si>
  <si>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</si>
  <si>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</si>
  <si>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</si>
  <si>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</si>
  <si>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</si>
  <si>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</si>
  <si>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</si>
  <si>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</si>
  <si>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</si>
  <si>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</si>
  <si>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</si>
  <si>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</si>
  <si>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</si>
  <si>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</si>
  <si>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</si>
  <si>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</si>
  <si>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</si>
  <si>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</si>
  <si>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</si>
  <si>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</si>
  <si>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</si>
  <si>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</si>
  <si>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</si>
  <si>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</si>
  <si>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</si>
  <si>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</si>
  <si>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</si>
  <si>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</si>
  <si>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</si>
  <si>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</si>
  <si>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</si>
  <si>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</si>
  <si>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</si>
  <si>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</si>
  <si>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</si>
  <si>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</si>
  <si>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</si>
  <si>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</si>
  <si>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</si>
  <si>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</si>
  <si>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</si>
  <si>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</si>
  <si>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</si>
  <si>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</si>
  <si>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</si>
  <si>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</si>
  <si>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</si>
  <si>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</si>
  <si>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</si>
  <si>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</si>
  <si>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</si>
  <si>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</si>
  <si>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</si>
  <si>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</si>
  <si>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</si>
  <si>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</si>
  <si>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</si>
  <si>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</si>
  <si>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</si>
  <si>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</si>
  <si>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</si>
  <si>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</si>
  <si>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</si>
  <si>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</si>
  <si>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</si>
  <si>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</si>
  <si>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</si>
  <si>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</si>
  <si>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</si>
  <si>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</si>
  <si>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</si>
  <si>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</si>
  <si>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</si>
  <si>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</si>
  <si>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</si>
  <si>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</si>
  <si>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</si>
  <si>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</si>
  <si>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</si>
  <si>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</si>
  <si>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</si>
  <si>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</si>
  <si>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</si>
  <si>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</si>
  <si>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</si>
  <si>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</si>
  <si>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</si>
  <si>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</si>
  <si>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</si>
  <si>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</si>
  <si>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</si>
  <si>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</si>
  <si>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</si>
  <si>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</si>
  <si>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</si>
  <si>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</si>
  <si>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</si>
  <si>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</si>
  <si>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</si>
  <si>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</si>
  <si>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</si>
  <si>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</si>
  <si>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</si>
  <si>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</si>
  <si>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</si>
  <si>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</si>
  <si>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</si>
  <si>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</si>
  <si>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</si>
  <si>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</si>
  <si>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</si>
  <si>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</si>
  <si>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</si>
  <si>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</si>
  <si>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</si>
  <si>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</si>
  <si>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</si>
  <si>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</si>
  <si>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</si>
  <si>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</si>
  <si>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</si>
  <si>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</si>
  <si>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</si>
  <si>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</si>
  <si>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</si>
  <si>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</si>
  <si>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</si>
  <si>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</si>
  <si>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</si>
  <si>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</si>
  <si>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</si>
  <si>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</si>
  <si>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</si>
  <si>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</si>
  <si>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</si>
  <si>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</si>
  <si>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</si>
  <si>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</si>
  <si>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</si>
  <si>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</si>
  <si>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</si>
  <si>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</si>
  <si>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</si>
  <si>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</si>
  <si>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</si>
  <si>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</si>
  <si>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</si>
  <si>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</si>
  <si>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</si>
  <si>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</si>
  <si>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</si>
  <si>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</si>
  <si>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</si>
  <si>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</si>
  <si>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</si>
  <si>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</si>
  <si>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</si>
  <si>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</si>
  <si>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</si>
  <si>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</si>
  <si>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</si>
  <si>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</si>
  <si>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</si>
  <si>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</si>
  <si>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</si>
  <si>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</si>
  <si>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</si>
  <si>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</si>
  <si>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</si>
  <si>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</si>
  <si>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</si>
  <si>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</si>
  <si>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</si>
  <si>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</si>
  <si>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</si>
  <si>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</si>
  <si>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</si>
  <si>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</si>
  <si>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</si>
  <si>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</si>
  <si>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</si>
  <si>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</si>
  <si>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</si>
  <si>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</si>
  <si>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</si>
  <si>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</si>
  <si>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</si>
  <si>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</si>
  <si>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</si>
  <si>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</si>
  <si>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</si>
  <si>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</si>
  <si>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</si>
  <si>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</si>
  <si>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</si>
  <si>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</si>
  <si>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</si>
  <si>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</si>
  <si>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</si>
  <si>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</si>
  <si>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</si>
  <si>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</si>
  <si>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</si>
  <si>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</si>
  <si>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</si>
  <si>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</si>
  <si>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</si>
  <si>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</si>
  <si>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</si>
  <si>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</si>
  <si>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</si>
  <si>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</si>
  <si>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</si>
  <si>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</si>
  <si>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</si>
  <si>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</si>
  <si>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</si>
  <si>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</si>
  <si>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</si>
  <si>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</si>
  <si>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</si>
  <si>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</si>
  <si>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</si>
  <si>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</si>
  <si>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</si>
  <si>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</si>
  <si>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</si>
  <si>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</si>
  <si>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</si>
  <si>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</si>
  <si>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</si>
  <si>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</si>
  <si>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</si>
  <si>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</si>
  <si>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</si>
  <si>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</si>
  <si>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</si>
  <si>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</si>
  <si>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</si>
  <si>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</si>
  <si>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</si>
  <si>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</si>
  <si>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</si>
  <si>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</si>
  <si>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</si>
  <si>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</si>
  <si>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</si>
  <si>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</si>
  <si>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</si>
  <si>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</si>
  <si>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</si>
  <si>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</si>
  <si>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</si>
  <si>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</si>
  <si>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</si>
  <si>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</si>
  <si>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</si>
  <si>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</si>
  <si>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</si>
  <si>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</si>
  <si>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</si>
  <si>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</si>
  <si>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</si>
  <si>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</si>
  <si>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</si>
  <si>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</si>
  <si>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</si>
  <si>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</si>
  <si>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</si>
  <si>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</si>
  <si>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</si>
  <si>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</si>
  <si>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</si>
  <si>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</si>
  <si>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</si>
  <si>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</si>
  <si>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</si>
  <si>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</si>
  <si>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</si>
  <si>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</si>
  <si>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</si>
  <si>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</si>
  <si>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</si>
  <si>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</si>
  <si>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</si>
  <si>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</si>
  <si>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</si>
  <si>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</si>
  <si>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</si>
  <si>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</si>
  <si>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</si>
  <si>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</si>
  <si>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</si>
  <si>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</si>
  <si>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</si>
  <si>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</si>
  <si>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</si>
  <si>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</si>
  <si>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</si>
  <si>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</si>
  <si>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</si>
  <si>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</si>
  <si>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</si>
  <si>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</si>
  <si>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</si>
  <si>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</si>
  <si>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</si>
  <si>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</si>
  <si>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</si>
  <si>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</si>
  <si>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</si>
  <si>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</si>
  <si>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</si>
  <si>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</si>
  <si>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</si>
  <si>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</si>
  <si>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</si>
  <si>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</si>
  <si>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</si>
  <si>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</si>
  <si>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</si>
  <si>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</si>
  <si>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</si>
  <si>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</si>
  <si>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</si>
  <si>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</si>
  <si>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</si>
  <si>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</si>
  <si>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</si>
  <si>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</si>
  <si>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</si>
  <si>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</si>
  <si>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</si>
  <si>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</si>
  <si>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</si>
  <si>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</si>
  <si>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</si>
  <si>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</si>
  <si>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</si>
  <si>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</si>
  <si>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</si>
  <si>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</si>
  <si>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</si>
  <si>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</si>
  <si>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</si>
  <si>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</si>
  <si>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</si>
  <si>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</si>
  <si>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</si>
  <si>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</si>
  <si>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</si>
  <si>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</si>
  <si>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</si>
  <si>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</si>
  <si>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</si>
  <si>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</si>
  <si>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</si>
  <si>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</si>
  <si>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</si>
  <si>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</si>
  <si>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</si>
  <si>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</si>
  <si>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</si>
  <si>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</si>
  <si>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</si>
  <si>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</si>
  <si>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</si>
  <si>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</si>
  <si>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</si>
  <si>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</si>
  <si>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</si>
  <si>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</si>
  <si>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</si>
  <si>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</si>
  <si>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</si>
  <si>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</si>
  <si>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</si>
  <si>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</si>
  <si>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</si>
  <si>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</si>
  <si>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</si>
  <si>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</si>
  <si>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</si>
  <si>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</si>
  <si>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</si>
  <si>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</si>
  <si>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</si>
  <si>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</si>
  <si>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</si>
  <si>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</si>
  <si>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</si>
  <si>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</si>
  <si>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</si>
  <si>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</si>
  <si>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</si>
  <si>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</si>
  <si>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</si>
  <si>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</si>
  <si>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</si>
  <si>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</si>
  <si>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</si>
  <si>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</si>
  <si>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</si>
  <si>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</si>
  <si>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</si>
  <si>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</si>
  <si>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</si>
  <si>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</si>
  <si>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</si>
  <si>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</si>
  <si>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</si>
  <si>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</si>
  <si>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</si>
  <si>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</si>
  <si>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</si>
  <si>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</si>
  <si>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</si>
  <si>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</si>
  <si>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</si>
  <si>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</si>
  <si>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</si>
  <si>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</si>
  <si>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</si>
  <si>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</si>
  <si>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</si>
  <si>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</si>
  <si>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</si>
  <si>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</si>
  <si>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</si>
  <si>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</si>
  <si>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</si>
  <si>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</si>
  <si>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</si>
  <si>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</si>
  <si>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</si>
  <si>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</si>
  <si>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</si>
  <si>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</si>
  <si>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</si>
  <si>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</si>
  <si>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</si>
  <si>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</si>
  <si>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</si>
  <si>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</si>
  <si>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</si>
  <si>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</si>
  <si>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</si>
  <si>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</si>
  <si>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</si>
  <si>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</si>
  <si>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</si>
  <si>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</si>
  <si>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</si>
  <si>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</si>
  <si>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</si>
  <si>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</si>
  <si>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</si>
  <si>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</si>
  <si>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</si>
  <si>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</si>
  <si>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</si>
  <si>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</si>
  <si>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</si>
  <si>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</si>
  <si>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</si>
  <si>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</si>
  <si>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</si>
  <si>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</si>
  <si>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</si>
  <si>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</si>
  <si>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</si>
  <si>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</si>
  <si>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</si>
  <si>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</si>
  <si>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</si>
  <si>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</si>
  <si>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</si>
  <si>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</si>
  <si>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</si>
  <si>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</si>
  <si>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</si>
  <si>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</si>
  <si>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</si>
  <si>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</si>
  <si>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</si>
  <si>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</si>
  <si>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</si>
  <si>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</si>
  <si>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</si>
  <si>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</si>
  <si>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</si>
  <si>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</si>
  <si>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</si>
  <si>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</si>
  <si>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</si>
  <si>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</si>
  <si>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</si>
  <si>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</si>
  <si>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</si>
  <si>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</si>
  <si>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</si>
  <si>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</si>
  <si>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</si>
  <si>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</si>
  <si>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</si>
  <si>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</si>
  <si>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</si>
  <si>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</si>
  <si>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</si>
  <si>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</si>
  <si>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</si>
  <si>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</si>
  <si>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</si>
  <si>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</si>
  <si>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</si>
  <si>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</si>
  <si>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</si>
  <si>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</si>
  <si>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</si>
  <si>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</si>
  <si>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</si>
  <si>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</si>
  <si>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</si>
  <si>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</si>
  <si>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</si>
  <si>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</si>
  <si>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</si>
  <si>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</si>
  <si>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</si>
  <si>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</si>
  <si>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</si>
  <si>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</si>
  <si>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</si>
  <si>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</si>
  <si>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</si>
  <si>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</si>
  <si>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</si>
  <si>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</si>
  <si>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</si>
  <si>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</si>
  <si>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</si>
  <si>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</si>
  <si>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</si>
  <si>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</si>
  <si>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</si>
  <si>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</si>
  <si>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</si>
  <si>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</si>
  <si>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</si>
  <si>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</si>
  <si>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</si>
  <si>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</si>
  <si>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</si>
  <si>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</si>
  <si>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</si>
  <si>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</si>
  <si>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</si>
  <si>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</si>
  <si>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</si>
  <si>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</si>
  <si>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</si>
  <si>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</si>
  <si>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</si>
  <si>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</si>
  <si>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</si>
  <si>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</si>
  <si>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</si>
  <si>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</si>
  <si>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</si>
  <si>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</si>
  <si>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</si>
  <si>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</si>
  <si>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</si>
  <si>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</si>
  <si>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</si>
  <si>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</si>
  <si>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</si>
  <si>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</si>
  <si>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</si>
  <si>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</si>
  <si>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</si>
  <si>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</si>
  <si>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</si>
  <si>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</si>
  <si>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</si>
  <si>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</si>
  <si>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</si>
  <si>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</si>
  <si>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</si>
  <si>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</si>
  <si>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</si>
  <si>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</si>
  <si>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</si>
  <si>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</si>
  <si>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</si>
  <si>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</si>
  <si>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</si>
  <si>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</si>
  <si>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</si>
  <si>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</si>
  <si>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</si>
  <si>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</si>
  <si>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</si>
  <si>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</si>
  <si>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</si>
  <si>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</si>
  <si>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</si>
  <si>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</si>
  <si>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</si>
  <si>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</si>
  <si>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</si>
  <si>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</si>
  <si>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</si>
  <si>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</si>
  <si>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</si>
  <si>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</si>
  <si>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</si>
  <si>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</si>
  <si>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</si>
  <si>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</si>
  <si>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</si>
  <si>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</si>
  <si>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</si>
  <si>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</si>
  <si>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</si>
  <si>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</si>
  <si>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</si>
  <si>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</si>
  <si>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</si>
  <si>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</si>
  <si>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</si>
  <si>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</si>
  <si>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</si>
  <si>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</si>
  <si>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</si>
  <si>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</si>
  <si>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</si>
  <si>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</si>
  <si>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</si>
  <si>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</si>
  <si>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</si>
  <si>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</si>
  <si>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</si>
  <si>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</si>
  <si>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</si>
  <si>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</si>
  <si>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</si>
  <si>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</si>
  <si>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</si>
  <si>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</si>
  <si>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</si>
  <si>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</si>
  <si>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</si>
  <si>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</si>
  <si>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</si>
  <si>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</si>
  <si>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</si>
  <si>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</si>
  <si>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</si>
  <si>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</si>
  <si>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</si>
  <si>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</si>
  <si>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</si>
  <si>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</si>
  <si>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</si>
  <si>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</si>
  <si>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</si>
  <si>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</si>
  <si>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</si>
  <si>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</si>
  <si>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</si>
  <si>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</si>
  <si>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</si>
  <si>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</si>
  <si>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</si>
  <si>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</si>
  <si>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</si>
  <si>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</si>
  <si>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</si>
  <si>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</si>
  <si>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</si>
  <si>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</si>
  <si>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</si>
  <si>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</si>
  <si>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</si>
  <si>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</si>
  <si>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</si>
  <si>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</si>
  <si>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</si>
  <si>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</si>
  <si>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</si>
  <si>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</si>
  <si>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</si>
  <si>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</si>
  <si>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</si>
  <si>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</si>
  <si>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</si>
  <si>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</si>
  <si>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</si>
  <si>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</si>
  <si>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</si>
  <si>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</si>
  <si>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</si>
  <si>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</si>
  <si>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</si>
  <si>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</si>
  <si>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</si>
  <si>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</si>
  <si>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</si>
  <si>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</si>
  <si>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</si>
  <si>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</si>
  <si>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</si>
  <si>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</si>
  <si>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</si>
  <si>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</si>
  <si>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</si>
  <si>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</si>
  <si>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</si>
  <si>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</si>
  <si>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</si>
  <si>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</si>
  <si>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</si>
  <si>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</si>
  <si>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</si>
  <si>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</si>
  <si>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</si>
  <si>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</si>
  <si>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</si>
  <si>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</si>
  <si>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</si>
  <si>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</si>
  <si>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</si>
  <si>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</si>
  <si>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</si>
  <si>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</si>
  <si>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</si>
  <si>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</si>
  <si>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</si>
  <si>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</si>
  <si>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</si>
  <si>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</si>
  <si>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</si>
  <si>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</si>
  <si>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</si>
  <si>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</si>
  <si>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</si>
  <si>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</si>
  <si>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</si>
  <si>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</si>
  <si>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</si>
  <si>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</si>
  <si>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</si>
  <si>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</si>
  <si>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</si>
  <si>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</si>
  <si>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</si>
  <si>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</si>
  <si>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</si>
  <si>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</si>
  <si>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</si>
  <si>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</si>
  <si>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</si>
  <si>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</si>
  <si>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</si>
  <si>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</si>
  <si>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</si>
  <si>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</si>
  <si>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</si>
  <si>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</si>
  <si>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</si>
  <si>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</si>
  <si>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</si>
  <si>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</si>
  <si>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</si>
  <si>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</si>
  <si>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</si>
  <si>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</si>
  <si>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</si>
  <si>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</si>
  <si>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</si>
  <si>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</si>
  <si>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</si>
  <si>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</si>
  <si>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</si>
  <si>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</si>
  <si>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</si>
  <si>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</si>
  <si>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</si>
  <si>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</si>
  <si>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</si>
  <si>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</si>
  <si>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</si>
  <si>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</si>
  <si>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</si>
  <si>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</si>
  <si>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</si>
  <si>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</si>
  <si>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</si>
  <si>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</si>
  <si>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</si>
  <si>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</si>
  <si>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</si>
  <si>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</si>
  <si>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</si>
  <si>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</si>
  <si>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</si>
  <si>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</si>
  <si>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</si>
  <si>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</si>
  <si>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</si>
  <si>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</si>
  <si>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</si>
  <si>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</si>
  <si>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</si>
  <si>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</si>
  <si>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</si>
  <si>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</si>
  <si>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</si>
  <si>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</si>
  <si>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</si>
  <si>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</si>
  <si>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</si>
  <si>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</si>
  <si>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</si>
  <si>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</si>
  <si>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</si>
  <si>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</si>
  <si>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</si>
  <si>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</si>
  <si>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</si>
  <si>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</si>
  <si>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</si>
  <si>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</si>
  <si>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</si>
  <si>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</si>
  <si>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</si>
  <si>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</si>
  <si>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</si>
  <si>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</si>
  <si>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</si>
  <si>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</si>
  <si>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</si>
  <si>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</si>
  <si>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</si>
  <si>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</si>
  <si>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</si>
  <si>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</si>
  <si>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</si>
  <si>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</si>
  <si>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</si>
  <si>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</si>
  <si>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</si>
  <si>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</si>
  <si>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</si>
  <si>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</si>
  <si>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</si>
  <si>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</si>
  <si>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</si>
  <si>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</si>
  <si>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</si>
  <si>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</si>
  <si>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</si>
  <si>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</si>
  <si>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</si>
  <si>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</si>
  <si>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</si>
  <si>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</si>
  <si>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</si>
  <si>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</si>
  <si>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</si>
  <si>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</si>
  <si>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</si>
  <si>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</si>
  <si>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</si>
  <si>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</si>
  <si>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</si>
  <si>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</si>
  <si>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</si>
  <si>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</si>
  <si>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</si>
  <si>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</si>
  <si>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</si>
  <si>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</si>
  <si>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</si>
  <si>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</si>
  <si>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</si>
  <si>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</si>
  <si>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</si>
  <si>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</si>
  <si>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</si>
  <si>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</si>
  <si>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</si>
  <si>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</si>
  <si>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</si>
  <si>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</si>
  <si>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</si>
  <si>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</si>
  <si>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</si>
  <si>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</si>
  <si>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</si>
  <si>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</si>
  <si>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</si>
  <si>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</si>
  <si>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</si>
  <si>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</si>
  <si>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</si>
  <si>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</si>
  <si>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</si>
  <si>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</si>
  <si>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</si>
  <si>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</si>
  <si>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</si>
  <si>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</si>
  <si>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</si>
  <si>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</si>
  <si>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</si>
  <si>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</si>
  <si>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</si>
  <si>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</si>
  <si>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</si>
  <si>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</si>
  <si>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</si>
  <si>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</si>
  <si>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</si>
  <si>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</si>
  <si>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</si>
  <si>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</si>
  <si>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</si>
  <si>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</si>
  <si>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</si>
  <si>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</si>
  <si>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</si>
  <si>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</si>
  <si>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</si>
  <si>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</si>
  <si>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</si>
  <si>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</si>
  <si>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</si>
  <si>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</si>
  <si>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</si>
  <si>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</si>
  <si>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</si>
  <si>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</si>
  <si>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</si>
  <si>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</si>
  <si>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</si>
  <si>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</si>
  <si>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</si>
  <si>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</si>
  <si>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</si>
  <si>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</si>
  <si>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</si>
  <si>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</si>
  <si>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</si>
  <si>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</si>
  <si>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</si>
  <si>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</si>
  <si>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</si>
  <si>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</si>
  <si>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</si>
  <si>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</si>
  <si>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</si>
  <si>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</si>
  <si>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</si>
  <si>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</si>
  <si>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</si>
  <si>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</si>
  <si>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</si>
  <si>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</si>
  <si>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</si>
  <si>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</si>
  <si>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</si>
  <si>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</si>
  <si>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</si>
  <si>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</si>
  <si>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</si>
  <si>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</si>
  <si>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</si>
  <si>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</si>
  <si>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</si>
  <si>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</si>
  <si>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</si>
  <si>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</si>
  <si>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</si>
  <si>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</si>
  <si>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</si>
  <si>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</si>
  <si>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</si>
  <si>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</si>
  <si>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</si>
  <si>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</si>
  <si>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</si>
  <si>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</si>
  <si>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</si>
  <si>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</si>
  <si>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</si>
  <si>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</si>
  <si>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</si>
  <si>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</si>
  <si>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</si>
  <si>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</si>
  <si>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</si>
  <si>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</si>
  <si>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</si>
  <si>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</si>
  <si>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</si>
  <si>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</si>
  <si>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</si>
  <si>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</si>
  <si>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</si>
  <si>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</si>
  <si>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</si>
  <si>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</si>
  <si>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</si>
  <si>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</si>
  <si>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</si>
  <si>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</si>
  <si>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</si>
  <si>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</si>
  <si>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</si>
  <si>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</si>
  <si>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</si>
  <si>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</si>
  <si>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</si>
  <si>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</si>
  <si>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</si>
  <si>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</si>
  <si>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</si>
  <si>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</si>
  <si>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</si>
  <si>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</si>
  <si>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</si>
  <si>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</si>
  <si>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</si>
  <si>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</si>
  <si>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</si>
  <si>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</si>
  <si>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</si>
  <si>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</si>
  <si>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</si>
  <si>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</si>
  <si>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</si>
  <si>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</si>
  <si>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</si>
  <si>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</si>
  <si>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</si>
  <si>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</si>
  <si>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</si>
  <si>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</si>
  <si>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</si>
  <si>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</si>
  <si>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</si>
  <si>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</si>
  <si>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</si>
  <si>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</si>
  <si>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</si>
  <si>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</si>
  <si>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</si>
  <si>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</si>
  <si>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</si>
  <si>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</si>
  <si>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</si>
  <si>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</si>
  <si>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</si>
  <si>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</si>
  <si>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</si>
  <si>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</si>
  <si>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</si>
  <si>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</si>
  <si>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</si>
  <si>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</si>
  <si>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</si>
  <si>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</si>
  <si>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</si>
  <si>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</si>
  <si>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</si>
  <si>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</si>
  <si>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</si>
  <si>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</si>
  <si>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</si>
  <si>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</si>
  <si>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</si>
  <si>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</si>
  <si>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</si>
  <si>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</si>
  <si>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</si>
  <si>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</si>
  <si>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</si>
  <si>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</si>
  <si>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</si>
  <si>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</si>
  <si>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</si>
  <si>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</si>
  <si>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</si>
  <si>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</si>
  <si>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</si>
  <si>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</si>
  <si>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</si>
  <si>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</si>
  <si>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</si>
  <si>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</si>
  <si>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</si>
  <si>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</si>
  <si>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</si>
  <si>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</si>
  <si>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</si>
  <si>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</si>
  <si>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</si>
  <si>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</si>
  <si>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</si>
  <si>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</si>
  <si>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</si>
  <si>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</si>
  <si>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</si>
  <si>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</si>
  <si>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</si>
  <si>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</si>
  <si>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</si>
  <si>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</si>
  <si>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</si>
  <si>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</si>
  <si>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</si>
  <si>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</si>
  <si>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</si>
  <si>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</si>
  <si>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</si>
  <si>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</si>
  <si>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</si>
  <si>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</si>
  <si>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</si>
  <si>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</si>
  <si>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</si>
  <si>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</si>
  <si>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</si>
  <si>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</si>
  <si>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</si>
  <si>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</si>
  <si>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</si>
  <si>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</si>
  <si>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</si>
  <si>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</si>
  <si>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</si>
  <si>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</si>
  <si>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</si>
  <si>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</si>
  <si>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</si>
  <si>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</si>
  <si>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</si>
  <si>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</si>
  <si>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</si>
  <si>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</si>
  <si>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</si>
  <si>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</si>
  <si>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</si>
  <si>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</si>
  <si>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</si>
  <si>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</si>
  <si>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</si>
  <si>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</si>
  <si>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</si>
  <si>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</si>
  <si>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</si>
  <si>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</si>
  <si>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</si>
  <si>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</si>
  <si>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</si>
  <si>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</si>
  <si>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</si>
  <si>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</si>
  <si>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</si>
  <si>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</si>
  <si>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</si>
  <si>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</si>
  <si>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</si>
  <si>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</si>
  <si>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</si>
  <si>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</si>
  <si>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</si>
  <si>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</si>
  <si>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</si>
  <si>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</si>
  <si>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</si>
  <si>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</si>
  <si>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</si>
  <si>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</si>
  <si>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</si>
  <si>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</si>
  <si>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</si>
  <si>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</si>
  <si>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</si>
  <si>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</si>
  <si>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</si>
  <si>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</si>
  <si>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</si>
  <si>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</si>
  <si>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</si>
  <si>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</si>
  <si>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</si>
  <si>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</si>
  <si>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</si>
  <si>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</si>
  <si>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</si>
  <si>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</si>
  <si>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</si>
  <si>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</si>
  <si>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</si>
  <si>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</si>
  <si>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</si>
  <si>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</si>
  <si>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</si>
  <si>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</si>
  <si>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</si>
  <si>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</si>
  <si>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</si>
  <si>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</si>
  <si>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</si>
  <si>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</si>
  <si>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</si>
  <si>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</si>
  <si>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</si>
  <si>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</si>
  <si>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</si>
  <si>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</si>
  <si>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</si>
  <si>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</si>
  <si>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</si>
  <si>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</si>
  <si>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</si>
  <si>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</si>
  <si>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</si>
  <si>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</si>
  <si>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</si>
  <si>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</si>
  <si>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</si>
  <si>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</si>
  <si>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</si>
  <si>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</si>
  <si>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</si>
  <si>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</si>
  <si>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</si>
  <si>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</si>
  <si>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</si>
  <si>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</si>
  <si>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</si>
  <si>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</si>
  <si>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</si>
  <si>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</si>
  <si>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</si>
  <si>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</si>
  <si>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</si>
  <si>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</si>
  <si>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</si>
  <si>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</si>
  <si>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</si>
  <si>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</si>
  <si>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</si>
  <si>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</si>
  <si>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</si>
  <si>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</si>
  <si>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</si>
  <si>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</si>
  <si>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</si>
  <si>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</si>
  <si>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</si>
  <si>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</si>
  <si>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</si>
  <si>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</si>
  <si>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</si>
  <si>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</si>
  <si>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</si>
  <si>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</si>
  <si>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</si>
  <si>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</si>
  <si>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</si>
  <si>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</si>
  <si>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</si>
  <si>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</si>
  <si>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</si>
  <si>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</si>
  <si>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</si>
  <si>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</si>
  <si>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</si>
  <si>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</si>
  <si>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</si>
  <si>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</si>
  <si>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</si>
  <si>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</si>
  <si>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</si>
  <si>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</si>
  <si>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</si>
  <si>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</si>
  <si>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</si>
  <si>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</si>
  <si>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</si>
  <si>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</si>
  <si>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</si>
  <si>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</si>
  <si>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</si>
  <si>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</si>
  <si>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</si>
  <si>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</si>
  <si>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</si>
  <si>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</si>
  <si>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</si>
  <si>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</si>
  <si>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</si>
  <si>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</si>
  <si>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</si>
  <si>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</si>
  <si>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</si>
  <si>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</si>
  <si>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</si>
  <si>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</si>
  <si>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</si>
  <si>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</si>
  <si>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</si>
  <si>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</si>
  <si>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</si>
  <si>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</si>
  <si>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</si>
  <si>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</si>
  <si>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</si>
  <si>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</si>
  <si>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</si>
  <si>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</si>
  <si>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</si>
  <si>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</si>
  <si>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</si>
  <si>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</si>
  <si>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</si>
  <si>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</si>
  <si>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</si>
  <si>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</si>
  <si>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</si>
  <si>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</si>
  <si>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</si>
  <si>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</si>
  <si>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</si>
  <si>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</si>
  <si>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</si>
  <si>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</si>
  <si>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</si>
  <si>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</si>
  <si>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</si>
  <si>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</si>
  <si>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</si>
  <si>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</si>
  <si>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</si>
  <si>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</si>
  <si>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</si>
  <si>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</si>
  <si>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</si>
  <si>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</si>
  <si>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</si>
  <si>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</si>
  <si>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</si>
  <si>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</si>
  <si>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</si>
  <si>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</si>
  <si>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</si>
  <si>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</si>
  <si>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</si>
  <si>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</si>
  <si>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</si>
  <si>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</si>
  <si>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</si>
  <si>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</si>
  <si>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</si>
  <si>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</si>
  <si>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</si>
  <si>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</si>
  <si>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</si>
  <si>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</si>
  <si>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</si>
  <si>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</si>
  <si>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</si>
  <si>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</si>
  <si>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</si>
  <si>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</si>
  <si>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</si>
  <si>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</si>
  <si>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</si>
  <si>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</si>
  <si>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</si>
  <si>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</si>
  <si>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</si>
  <si>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</si>
  <si>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</si>
  <si>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</si>
  <si>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</si>
  <si>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</si>
  <si>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</si>
  <si>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</si>
  <si>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</si>
  <si>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</si>
  <si>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</si>
  <si>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</si>
  <si>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</si>
  <si>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</si>
  <si>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</si>
  <si>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</si>
  <si>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</si>
  <si>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</si>
  <si>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</si>
  <si>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</si>
  <si>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</si>
  <si>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</si>
  <si>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</si>
  <si>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</si>
  <si>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</si>
  <si>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</si>
  <si>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</si>
  <si>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</si>
  <si>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</si>
  <si>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</si>
  <si>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</si>
  <si>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</si>
  <si>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</si>
  <si>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</si>
  <si>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</si>
  <si>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</si>
  <si>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</si>
  <si>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</si>
  <si>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</si>
  <si>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</si>
  <si>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</si>
  <si>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</si>
  <si>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</si>
  <si>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</si>
  <si>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</si>
  <si>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</si>
  <si>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</si>
  <si>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</si>
  <si>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</si>
  <si>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</si>
  <si>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</si>
  <si>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</si>
  <si>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</si>
  <si>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</si>
  <si>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</si>
  <si>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</si>
  <si>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</si>
  <si>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</si>
  <si>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</si>
  <si>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</si>
  <si>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</si>
  <si>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</si>
  <si>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</si>
  <si>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</si>
  <si>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</si>
  <si>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</si>
  <si>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</si>
  <si>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</si>
  <si>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</si>
  <si>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</si>
  <si>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</si>
  <si>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</si>
  <si>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</si>
  <si>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</si>
  <si>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</si>
  <si>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</si>
  <si>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</si>
  <si>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</si>
  <si>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</si>
  <si>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</si>
  <si>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</si>
  <si>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</si>
  <si>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</si>
  <si>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</si>
  <si>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</si>
  <si>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</si>
  <si>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</si>
  <si>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</si>
  <si>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</si>
  <si>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</si>
  <si>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</si>
  <si>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</si>
  <si>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</si>
  <si>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</si>
  <si>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</si>
  <si>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</si>
  <si>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</si>
  <si>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</si>
  <si>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</si>
  <si>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</si>
  <si>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</si>
  <si>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</si>
  <si>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</si>
  <si>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</si>
  <si>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</si>
  <si>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</si>
  <si>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</si>
  <si>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</si>
  <si>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</si>
  <si>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</si>
  <si>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</si>
  <si>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</si>
  <si>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</si>
  <si>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</si>
  <si>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</si>
  <si>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</si>
  <si>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</si>
  <si>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</si>
  <si>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</si>
  <si>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</si>
  <si>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</si>
  <si>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</si>
  <si>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</si>
  <si>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</si>
  <si>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</si>
  <si>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</si>
  <si>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</si>
  <si>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</si>
  <si>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</si>
  <si>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</si>
  <si>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</si>
  <si>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</si>
  <si>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</si>
  <si>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</si>
  <si>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</si>
  <si>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</si>
  <si>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</si>
  <si>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</si>
  <si>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</si>
  <si>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</si>
  <si>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</si>
  <si>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</si>
  <si>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</si>
  <si>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</si>
  <si>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</si>
  <si>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</si>
  <si>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</si>
  <si>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</si>
  <si>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</si>
  <si>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</si>
  <si>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</si>
  <si>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</si>
  <si>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</si>
  <si>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</si>
  <si>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</si>
  <si>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</si>
  <si>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</si>
  <si>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</si>
  <si>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</si>
  <si>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</si>
  <si>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</si>
  <si>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</si>
  <si>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</si>
  <si>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</si>
  <si>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</si>
  <si>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</si>
  <si>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</si>
  <si>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</si>
  <si>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</si>
  <si>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</si>
  <si>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</si>
  <si>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</si>
  <si>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</si>
  <si>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</si>
  <si>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</si>
  <si>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</si>
  <si>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</si>
  <si>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</si>
  <si>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</si>
  <si>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</si>
  <si>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</si>
  <si>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</si>
  <si>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</si>
  <si>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</si>
  <si>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</si>
  <si>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</si>
  <si>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</si>
  <si>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</si>
  <si>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</si>
  <si>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</si>
  <si>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</si>
  <si>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</si>
  <si>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</si>
  <si>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</si>
  <si>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</si>
  <si>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</si>
  <si>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</si>
  <si>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</si>
  <si>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</si>
  <si>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</si>
  <si>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</si>
  <si>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</si>
  <si>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</si>
  <si>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</si>
  <si>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</si>
  <si>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</si>
  <si>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</si>
  <si>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</si>
  <si>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</si>
  <si>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</si>
  <si>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</si>
  <si>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</si>
  <si>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</si>
  <si>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</si>
  <si>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</si>
  <si>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</si>
  <si>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</si>
  <si>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</si>
  <si>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</si>
  <si>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</si>
  <si>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</si>
  <si>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</si>
  <si>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</si>
  <si>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</si>
  <si>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</si>
  <si>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</si>
  <si>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</si>
  <si>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</si>
  <si>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</si>
  <si>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</si>
  <si>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</si>
  <si>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</si>
  <si>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</si>
  <si>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</si>
  <si>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</si>
  <si>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</si>
  <si>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</si>
  <si>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</si>
  <si>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</si>
  <si>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</si>
  <si>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</si>
  <si>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</si>
  <si>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</si>
  <si>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</si>
  <si>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</si>
  <si>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</si>
  <si>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</si>
  <si>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</si>
  <si>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</si>
  <si>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</si>
  <si>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</si>
  <si>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</si>
  <si>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</si>
  <si>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</si>
  <si>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</si>
  <si>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</si>
  <si>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</si>
  <si>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</si>
  <si>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</si>
  <si>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</si>
  <si>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</si>
  <si>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</si>
  <si>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</si>
  <si>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</si>
  <si>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</si>
  <si>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</si>
  <si>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</si>
  <si>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</si>
  <si>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</si>
  <si>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</si>
  <si>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</si>
  <si>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</si>
  <si>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</si>
  <si>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</si>
  <si>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</si>
  <si>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</si>
  <si>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</si>
  <si>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</si>
  <si>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</si>
  <si>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</si>
  <si>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</si>
  <si>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</si>
  <si>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</si>
  <si>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</si>
  <si>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</si>
  <si>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</si>
  <si>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</si>
  <si>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</si>
  <si>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</si>
  <si>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</si>
  <si>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</si>
  <si>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</si>
  <si>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</si>
  <si>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</si>
  <si>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</si>
  <si>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</si>
  <si>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</si>
  <si>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</si>
  <si>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</si>
  <si>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</si>
  <si>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</si>
  <si>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</si>
  <si>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</si>
  <si>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</si>
  <si>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</si>
  <si>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</si>
  <si>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</si>
  <si>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</si>
  <si>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</si>
  <si>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</si>
  <si>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</si>
  <si>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</si>
  <si>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</si>
  <si>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</si>
  <si>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</si>
  <si>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</si>
  <si>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</si>
  <si>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</si>
  <si>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</si>
  <si>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</si>
  <si>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</si>
  <si>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</si>
  <si>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</si>
  <si>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</si>
  <si>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</si>
  <si>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</si>
  <si>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</si>
  <si>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</si>
  <si>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</si>
  <si>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</si>
  <si>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</si>
  <si>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</si>
  <si>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</si>
  <si>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</si>
  <si>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</si>
  <si>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</si>
  <si>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</si>
  <si>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</si>
  <si>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</si>
  <si>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</si>
  <si>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</si>
  <si>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</si>
  <si>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</si>
  <si>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</si>
  <si>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</si>
  <si>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</si>
  <si>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</si>
  <si>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</si>
  <si>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</si>
  <si>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</si>
  <si>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</si>
  <si>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</si>
  <si>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</si>
  <si>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</si>
  <si>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</si>
  <si>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</si>
  <si>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</si>
  <si>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</si>
  <si>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</si>
  <si>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</si>
  <si>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</si>
  <si>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</si>
  <si>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</si>
  <si>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</si>
  <si>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</si>
  <si>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</si>
  <si>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</si>
  <si>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</si>
  <si>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</si>
  <si>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</si>
  <si>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</si>
  <si>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</si>
  <si>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</si>
  <si>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</si>
  <si>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</si>
  <si>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</si>
  <si>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</si>
  <si>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</si>
  <si>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</si>
  <si>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</si>
  <si>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</si>
  <si>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</si>
  <si>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</si>
  <si>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</si>
  <si>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</si>
  <si>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</si>
  <si>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</si>
  <si>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</si>
  <si>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</si>
  <si>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</si>
  <si>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</si>
  <si>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</si>
  <si>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</si>
  <si>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</si>
  <si>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</si>
  <si>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</si>
  <si>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</si>
  <si>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</si>
  <si>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</si>
  <si>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</si>
  <si>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</si>
  <si>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</si>
  <si>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</si>
  <si>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</si>
  <si>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</si>
  <si>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</si>
  <si>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</si>
  <si>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</si>
  <si>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</si>
  <si>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</si>
  <si>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</si>
  <si>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</si>
  <si>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</si>
  <si>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</si>
  <si>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</si>
  <si>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</si>
  <si>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</si>
  <si>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</si>
  <si>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</si>
  <si>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</si>
  <si>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</si>
  <si>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</si>
  <si>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</si>
  <si>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</si>
  <si>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</si>
  <si>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</si>
  <si>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</si>
  <si>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</si>
  <si>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</si>
  <si>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</si>
  <si>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</si>
  <si>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</si>
  <si>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</si>
  <si>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</si>
  <si>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</si>
  <si>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</si>
  <si>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</si>
  <si>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</si>
  <si>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</si>
  <si>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</si>
  <si>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</si>
  <si>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</si>
  <si>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</si>
  <si>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</si>
  <si>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</si>
  <si>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</si>
  <si>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</si>
  <si>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</si>
  <si>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</si>
  <si>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</si>
  <si>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</si>
  <si>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</si>
  <si>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</si>
  <si>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</si>
  <si>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</si>
  <si>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</si>
  <si>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</si>
  <si>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</si>
  <si>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</si>
  <si>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</si>
  <si>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</si>
  <si>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</si>
  <si>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</si>
  <si>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</si>
  <si>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</si>
  <si>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</si>
  <si>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</si>
  <si>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</si>
  <si>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</si>
  <si>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</si>
  <si>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</si>
  <si>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</si>
  <si>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</si>
  <si>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</si>
  <si>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</si>
  <si>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</si>
  <si>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</si>
  <si>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</si>
  <si>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</si>
  <si>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</si>
  <si>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</si>
  <si>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</si>
  <si>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</si>
  <si>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</si>
  <si>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</si>
  <si>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</si>
  <si>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</si>
  <si>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</si>
  <si>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</si>
  <si>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</si>
  <si>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</si>
  <si>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</si>
  <si>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</si>
  <si>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</si>
  <si>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</si>
  <si>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</si>
  <si>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</si>
  <si>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</si>
  <si>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</si>
  <si>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</si>
  <si>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</si>
  <si>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</si>
  <si>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</si>
  <si>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</si>
  <si>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</si>
  <si>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</si>
  <si>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</si>
  <si>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</si>
  <si>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</si>
  <si>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</si>
  <si>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</si>
  <si>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</si>
  <si>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</si>
  <si>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</si>
  <si>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</si>
  <si>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</si>
  <si>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</si>
  <si>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</si>
  <si>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</si>
  <si>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</si>
  <si>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</si>
  <si>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</si>
  <si>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</si>
  <si>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</si>
  <si>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</si>
  <si>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</si>
  <si>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</si>
  <si>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</si>
  <si>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</si>
  <si>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</si>
  <si>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</si>
  <si>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</si>
  <si>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</si>
  <si>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</si>
  <si>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</si>
  <si>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</si>
  <si>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</si>
  <si>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</si>
  <si>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</si>
  <si>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</si>
  <si>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</si>
  <si>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</si>
  <si>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</si>
  <si>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</si>
  <si>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</si>
  <si>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</si>
  <si>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</si>
  <si>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</si>
  <si>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</si>
  <si>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</si>
  <si>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</si>
  <si>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</si>
  <si>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</si>
  <si>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</si>
  <si>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</si>
  <si>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</si>
  <si>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</si>
  <si>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</si>
  <si>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</si>
  <si>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</si>
  <si>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</si>
  <si>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</si>
  <si>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</si>
  <si>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</si>
  <si>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</si>
  <si>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</si>
  <si>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</si>
  <si>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</si>
  <si>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</si>
  <si>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</si>
  <si>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</si>
  <si>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</si>
  <si>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</si>
  <si>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</si>
  <si>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</si>
  <si>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</si>
  <si>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</si>
  <si>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</si>
  <si>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</si>
  <si>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</si>
  <si>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</si>
  <si>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</si>
  <si>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</si>
  <si>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</si>
  <si>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</si>
  <si>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</si>
  <si>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</si>
  <si>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</si>
  <si>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</si>
  <si>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</si>
  <si>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</si>
  <si>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</si>
  <si>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</si>
  <si>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</si>
  <si>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</si>
  <si>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</si>
  <si>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</si>
  <si>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</si>
  <si>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</si>
  <si>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</si>
  <si>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</si>
  <si>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</si>
  <si>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</si>
  <si>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</si>
  <si>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</si>
  <si>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</si>
  <si>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</si>
  <si>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</si>
  <si>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</si>
  <si>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</si>
  <si>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</si>
  <si>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</si>
  <si>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</si>
  <si>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</si>
  <si>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</si>
  <si>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</si>
  <si>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</si>
  <si>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</si>
  <si>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</si>
  <si>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</si>
  <si>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</si>
  <si>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</si>
  <si>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</si>
  <si>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</si>
  <si>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</si>
  <si>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</si>
  <si>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</si>
  <si>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</si>
  <si>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</si>
  <si>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</si>
  <si>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</si>
  <si>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</si>
  <si>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</si>
  <si>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</si>
  <si>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</si>
  <si>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</si>
  <si>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</si>
  <si>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</si>
  <si>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</si>
  <si>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</si>
  <si>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</si>
  <si>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</si>
  <si>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</si>
  <si>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</si>
  <si>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</si>
  <si>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</si>
  <si>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</si>
  <si>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</si>
  <si>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</si>
  <si>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</si>
  <si>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</si>
  <si>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</si>
  <si>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</si>
  <si>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</si>
  <si>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</si>
  <si>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</si>
  <si>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</si>
  <si>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</si>
  <si>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</si>
  <si>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</si>
  <si>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</si>
  <si>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</si>
  <si>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</si>
  <si>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</si>
  <si>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</si>
  <si>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</si>
  <si>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</si>
  <si>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</si>
  <si>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</si>
  <si>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</si>
  <si>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</si>
  <si>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</si>
  <si>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</si>
  <si>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</si>
  <si>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</si>
  <si>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</si>
  <si>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</si>
  <si>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</si>
  <si>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</si>
  <si>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</si>
  <si>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</si>
  <si>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</si>
  <si>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</si>
  <si>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</si>
  <si>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</si>
  <si>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</si>
  <si>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</si>
  <si>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</si>
  <si>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</si>
  <si>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</si>
  <si>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</si>
  <si>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</si>
  <si>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</si>
  <si>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</si>
  <si>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</si>
  <si>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</si>
  <si>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</si>
  <si>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</si>
  <si>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</si>
  <si>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</si>
  <si>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</si>
  <si>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</si>
  <si>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</si>
  <si>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</si>
  <si>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</si>
  <si>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</si>
  <si>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</si>
  <si>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</si>
  <si>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</si>
  <si>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</si>
  <si>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</si>
  <si>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</si>
  <si>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</si>
  <si>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</si>
  <si>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</si>
  <si>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</si>
  <si>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</si>
  <si>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</si>
  <si>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</si>
  <si>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</si>
  <si>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</si>
  <si>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</si>
  <si>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</si>
  <si>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</si>
  <si>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</si>
  <si>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</si>
  <si>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</si>
  <si>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</si>
  <si>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</si>
  <si>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</si>
  <si>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</si>
  <si>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</si>
  <si>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</si>
  <si>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</si>
  <si>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</si>
  <si>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</si>
  <si>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</si>
  <si>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</si>
  <si>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</si>
  <si>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</si>
  <si>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</si>
  <si>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</si>
  <si>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</si>
  <si>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</si>
  <si>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</si>
  <si>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</si>
  <si>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</si>
  <si>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</si>
  <si>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</si>
  <si>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</si>
  <si>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</si>
  <si>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</si>
  <si>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</si>
  <si>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</si>
  <si>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</si>
  <si>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</si>
  <si>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</si>
  <si>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</si>
  <si>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</si>
  <si>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</si>
  <si>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</si>
  <si>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</si>
  <si>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</si>
  <si>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</si>
  <si>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</si>
  <si>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</si>
  <si>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</si>
  <si>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</si>
  <si>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</si>
  <si>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</si>
  <si>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</si>
  <si>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</si>
  <si>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</si>
  <si>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</si>
  <si>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</si>
  <si>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</si>
  <si>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</si>
  <si>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</si>
  <si>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</si>
  <si>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</si>
  <si>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</si>
  <si>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</si>
  <si>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</si>
  <si>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</si>
  <si>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</si>
  <si>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</si>
  <si>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</si>
  <si>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</si>
  <si>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</si>
  <si>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</si>
  <si>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</si>
  <si>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</si>
  <si>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</si>
  <si>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</si>
  <si>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</si>
  <si>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</si>
  <si>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</si>
  <si>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</si>
  <si>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</si>
  <si>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</si>
  <si>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</si>
  <si>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</si>
  <si>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</si>
  <si>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</si>
  <si>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</si>
  <si>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</si>
  <si>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</si>
  <si>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</si>
  <si>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</si>
  <si>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</si>
  <si>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</si>
  <si>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</si>
  <si>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</si>
  <si>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</si>
  <si>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</si>
  <si>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</si>
  <si>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</si>
  <si>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</si>
  <si>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</si>
  <si>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</si>
  <si>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</si>
  <si>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</si>
  <si>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</si>
  <si>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</si>
  <si>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</si>
  <si>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</si>
  <si>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</si>
  <si>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</si>
  <si>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</si>
  <si>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</si>
  <si>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</si>
  <si>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</si>
  <si>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</si>
  <si>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</si>
  <si>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</si>
  <si>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</si>
  <si>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</si>
  <si>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</si>
  <si>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</si>
  <si>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</si>
  <si>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</si>
  <si>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</si>
  <si>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</si>
  <si>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</si>
  <si>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</si>
  <si>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</si>
  <si>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</si>
  <si>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</si>
  <si>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</si>
  <si>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</si>
  <si>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</si>
  <si>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</si>
  <si>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</si>
  <si>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</si>
  <si>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</si>
  <si>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</si>
  <si>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</si>
  <si>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</si>
  <si>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</si>
  <si>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</si>
  <si>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</si>
  <si>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</si>
  <si>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</si>
  <si>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</si>
  <si>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</si>
  <si>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</si>
  <si>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</si>
  <si>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</si>
  <si>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</si>
  <si>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</si>
  <si>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</si>
  <si>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</si>
  <si>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</si>
  <si>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</si>
  <si>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</si>
  <si>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</si>
  <si>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</si>
  <si>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</si>
  <si>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</si>
  <si>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</si>
  <si>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</si>
  <si>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</si>
  <si>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</si>
  <si>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</si>
  <si>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</si>
  <si>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</si>
  <si>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</si>
  <si>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</si>
  <si>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</si>
  <si>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</si>
  <si>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</si>
  <si>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</si>
  <si>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</si>
  <si>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</si>
  <si>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</si>
  <si>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</si>
  <si>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</si>
  <si>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</si>
  <si>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</si>
  <si>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</si>
  <si>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</si>
  <si>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</si>
  <si>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</si>
  <si>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</si>
  <si>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</si>
  <si>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</si>
  <si>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</si>
  <si>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</si>
  <si>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</si>
  <si>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</si>
  <si>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</si>
  <si>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</si>
  <si>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</si>
  <si>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</si>
  <si>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</si>
  <si>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</si>
  <si>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</si>
  <si>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</si>
  <si>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</si>
  <si>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</si>
  <si>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</si>
  <si>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</si>
  <si>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</si>
  <si>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</si>
  <si>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</si>
  <si>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</si>
  <si>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</si>
  <si>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</si>
  <si>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</si>
  <si>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</si>
  <si>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</si>
  <si>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</si>
  <si>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</si>
  <si>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</si>
  <si>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</si>
  <si>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</si>
  <si>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</si>
  <si>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</si>
  <si>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</si>
  <si>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</si>
  <si>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</si>
  <si>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</si>
  <si>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</si>
  <si>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</si>
  <si>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</si>
  <si>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</si>
  <si>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</si>
  <si>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</si>
  <si>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</si>
  <si>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</si>
  <si>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</si>
  <si>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</si>
  <si>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</si>
  <si>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</si>
  <si>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</si>
  <si>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</si>
  <si>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</si>
  <si>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</si>
  <si>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</si>
  <si>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</si>
  <si>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</si>
  <si>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</si>
  <si>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</si>
  <si>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</si>
  <si>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</si>
  <si>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</si>
  <si>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</si>
  <si>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</si>
  <si>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</si>
  <si>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</si>
  <si>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</si>
  <si>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</si>
  <si>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</si>
  <si>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</si>
  <si>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</si>
  <si>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</si>
  <si>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</si>
  <si>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</si>
  <si>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</si>
  <si>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</si>
  <si>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</si>
  <si>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</si>
  <si>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</si>
  <si>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</si>
  <si>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</si>
  <si>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</si>
  <si>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</si>
  <si>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</si>
  <si>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</si>
  <si>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</si>
  <si>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</si>
  <si>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</si>
  <si>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</si>
  <si>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</si>
  <si>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</si>
  <si>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</si>
  <si>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</si>
  <si>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</si>
  <si>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</si>
  <si>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</si>
  <si>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</si>
  <si>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</si>
  <si>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</si>
  <si>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</si>
  <si>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</si>
  <si>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</si>
  <si>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</si>
  <si>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</si>
  <si>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</si>
  <si>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</si>
  <si>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</si>
  <si>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</si>
  <si>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</si>
  <si>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</si>
  <si>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</si>
  <si>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</si>
  <si>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</si>
  <si>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</si>
  <si>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</si>
  <si>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</si>
  <si>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</si>
  <si>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</si>
  <si>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</si>
  <si>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</si>
  <si>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</si>
  <si>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</si>
  <si>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</si>
  <si>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</si>
  <si>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</si>
  <si>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</si>
  <si>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</si>
  <si>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</si>
  <si>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</si>
  <si>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</si>
  <si>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</si>
  <si>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</si>
  <si>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</si>
  <si>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</si>
  <si>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</si>
  <si>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</si>
  <si>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</si>
  <si>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</si>
  <si>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</si>
  <si>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</si>
  <si>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</si>
  <si>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</si>
  <si>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</si>
  <si>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</si>
  <si>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</si>
  <si>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</si>
  <si>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</si>
  <si>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</si>
  <si>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</si>
  <si>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</si>
  <si>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</si>
  <si>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</si>
  <si>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</si>
  <si>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</si>
  <si>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</si>
  <si>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</si>
  <si>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</si>
  <si>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</si>
  <si>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</si>
  <si>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</si>
  <si>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</si>
  <si>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</si>
  <si>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</si>
  <si>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</si>
  <si>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</si>
  <si>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</si>
  <si>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</si>
  <si>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</si>
  <si>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</si>
  <si>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</si>
  <si>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</si>
  <si>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</si>
  <si>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</si>
  <si>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</si>
  <si>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</si>
  <si>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</si>
  <si>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</si>
  <si>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</si>
  <si>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</si>
  <si>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</si>
  <si>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</si>
  <si>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</si>
  <si>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</si>
  <si>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</si>
  <si>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</si>
  <si>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</si>
  <si>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</si>
  <si>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</si>
  <si>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</si>
  <si>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</si>
  <si>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</si>
  <si>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</si>
  <si>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</si>
  <si>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</si>
  <si>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</si>
  <si>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</si>
  <si>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</si>
  <si>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</si>
  <si>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</si>
  <si>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</si>
  <si>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</si>
  <si>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</si>
  <si>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</si>
  <si>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</si>
  <si>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</si>
  <si>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</si>
  <si>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</si>
  <si>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</si>
  <si>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</si>
  <si>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</si>
  <si>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</si>
  <si>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</si>
  <si>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</si>
  <si>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</si>
  <si>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</si>
  <si>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</si>
  <si>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</si>
  <si>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</si>
  <si>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</si>
  <si>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</si>
  <si>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</si>
  <si>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</si>
  <si>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</si>
  <si>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</si>
  <si>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</si>
  <si>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</si>
  <si>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</si>
  <si>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</si>
  <si>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</si>
  <si>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</si>
  <si>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</si>
  <si>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</si>
  <si>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</si>
  <si>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</si>
  <si>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</si>
  <si>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</si>
  <si>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</si>
  <si>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</si>
  <si>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</si>
  <si>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</si>
  <si>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</si>
  <si>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</si>
  <si>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</si>
  <si>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</si>
  <si>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</si>
  <si>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</si>
  <si>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</si>
  <si>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</si>
  <si>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</si>
  <si>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</si>
  <si>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</si>
  <si>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</si>
  <si>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</si>
  <si>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</si>
  <si>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</si>
  <si>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</si>
  <si>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</si>
  <si>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</si>
  <si>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</si>
  <si>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</si>
  <si>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</si>
  <si>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</si>
  <si>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</si>
  <si>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</si>
  <si>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</si>
  <si>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</si>
  <si>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</si>
  <si>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</si>
  <si>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</si>
  <si>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</si>
  <si>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</si>
  <si>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</si>
  <si>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</si>
  <si>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</si>
  <si>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</si>
  <si>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</si>
  <si>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</si>
  <si>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</si>
  <si>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</si>
  <si>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</si>
  <si>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</si>
  <si>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</si>
  <si>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</si>
  <si>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</si>
  <si>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</si>
  <si>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</si>
  <si>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</si>
  <si>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</si>
  <si>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</si>
  <si>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</si>
  <si>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</si>
  <si>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</si>
  <si>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</si>
  <si>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</si>
  <si>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</si>
  <si>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</si>
  <si>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</si>
  <si>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</si>
  <si>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</si>
  <si>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</si>
  <si>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</si>
  <si>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</si>
  <si>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</si>
  <si>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</si>
  <si>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</si>
  <si>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</si>
  <si>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</si>
  <si>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</si>
  <si>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</si>
  <si>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</si>
  <si>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</si>
  <si>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</si>
  <si>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</si>
  <si>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</si>
  <si>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</si>
  <si>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</si>
  <si>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</si>
  <si>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</si>
  <si>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</si>
  <si>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</si>
  <si>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</si>
  <si>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</si>
  <si>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</si>
  <si>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</si>
  <si>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</si>
  <si>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</si>
  <si>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</si>
  <si>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</si>
  <si>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</si>
  <si>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</si>
  <si>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</si>
  <si>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</si>
  <si>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</si>
  <si>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</si>
  <si>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</si>
  <si>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</si>
  <si>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</si>
  <si>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</si>
  <si>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</si>
  <si>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</si>
  <si>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</si>
  <si>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</si>
  <si>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</si>
  <si>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</si>
  <si>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</si>
  <si>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</si>
  <si>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</si>
  <si>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</si>
  <si>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</si>
  <si>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</si>
  <si>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</si>
  <si>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</si>
  <si>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</si>
  <si>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</si>
  <si>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</si>
  <si>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</si>
  <si>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</si>
  <si>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</si>
  <si>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</si>
  <si>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</si>
  <si>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</si>
  <si>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</si>
  <si>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</si>
  <si>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</si>
  <si>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</si>
  <si>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</si>
  <si>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</si>
  <si>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</si>
  <si>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</si>
  <si>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</si>
  <si>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</si>
  <si>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</si>
  <si>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</si>
  <si>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</si>
  <si>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</si>
  <si>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</si>
  <si>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</si>
  <si>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</si>
  <si>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</si>
  <si>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</si>
  <si>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</si>
  <si>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</si>
  <si>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</si>
  <si>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</si>
  <si>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</si>
  <si>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</si>
  <si>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</si>
  <si>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</si>
  <si>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</si>
  <si>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</si>
  <si>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</si>
  <si>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</si>
  <si>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</si>
  <si>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</si>
  <si>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</si>
  <si>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</si>
  <si>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</si>
  <si>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</si>
  <si>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</si>
  <si>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</si>
  <si>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</si>
  <si>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</si>
  <si>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</si>
  <si>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</si>
  <si>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</si>
  <si>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</si>
  <si>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</si>
  <si>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</si>
  <si>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</si>
  <si>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</si>
  <si>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</si>
  <si>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</si>
  <si>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</si>
  <si>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</si>
  <si>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</si>
  <si>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</si>
  <si>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</si>
  <si>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</si>
  <si>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</si>
  <si>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</si>
  <si>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</si>
  <si>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</si>
  <si>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</si>
  <si>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</si>
  <si>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</si>
  <si>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</si>
  <si>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</si>
  <si>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</si>
  <si>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</si>
  <si>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</si>
  <si>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</si>
  <si>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</si>
  <si>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</si>
  <si>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</si>
  <si>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</si>
  <si>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</si>
  <si>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</si>
  <si>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</si>
  <si>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</si>
  <si>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</si>
  <si>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</si>
  <si>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</si>
  <si>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</si>
  <si>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</si>
  <si>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</si>
  <si>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</si>
  <si>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</si>
  <si>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</si>
  <si>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</si>
  <si>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</si>
  <si>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</si>
  <si>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</si>
  <si>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</si>
  <si>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</si>
  <si>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</si>
  <si>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</si>
  <si>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</si>
  <si>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</si>
  <si>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</si>
  <si>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</si>
  <si>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</si>
  <si>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</si>
  <si>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</si>
  <si>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</si>
  <si>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</si>
  <si>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</si>
  <si>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</si>
  <si>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</si>
  <si>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</si>
  <si>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</si>
  <si>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</si>
  <si>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</si>
  <si>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</si>
  <si>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</si>
  <si>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</si>
  <si>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</si>
  <si>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</si>
  <si>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</si>
  <si>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</si>
  <si>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</si>
  <si>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</si>
  <si>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</si>
  <si>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</si>
  <si>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</si>
  <si>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</si>
  <si>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</si>
  <si>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</si>
  <si>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</si>
  <si>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</si>
  <si>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</si>
  <si>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</si>
  <si>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</si>
  <si>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</si>
  <si>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</si>
  <si>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</si>
  <si>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</si>
  <si>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</si>
  <si>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</si>
  <si>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</si>
  <si>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</si>
  <si>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</si>
  <si>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</si>
  <si>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</si>
  <si>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</si>
  <si>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</si>
  <si>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</si>
  <si>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</si>
  <si>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</si>
  <si>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</si>
  <si>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</si>
  <si>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</si>
  <si>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</si>
  <si>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</si>
  <si>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</si>
  <si>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</si>
  <si>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</si>
  <si>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</si>
  <si>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</si>
  <si>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</si>
  <si>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</si>
  <si>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</si>
  <si>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</si>
  <si>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</si>
  <si>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</si>
  <si>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</si>
  <si>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</si>
  <si>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</si>
  <si>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</si>
  <si>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9705 تا 184.6 که 2715 تا حساب مریم و 6990 حساب داریوش</t>
  </si>
  <si>
    <t>وغدیر 5661 تا 184.6 حساب سارا</t>
  </si>
  <si>
    <t>وغدیر سارا</t>
  </si>
  <si>
    <t>بدهی به سارا نقدی 4/9</t>
  </si>
  <si>
    <t>بدهی به مهدی 4/9</t>
  </si>
  <si>
    <t>261307622 </t>
  </si>
  <si>
    <t>5/9/1397</t>
  </si>
  <si>
    <t>مادیرا 399 تا 365</t>
  </si>
  <si>
    <t>مادیرا</t>
  </si>
  <si>
    <t xml:space="preserve">مادیرا </t>
  </si>
  <si>
    <t>مادیرا 398 تا 365</t>
  </si>
  <si>
    <t>مادیرا سارا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</si>
  <si>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</si>
  <si>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</si>
  <si>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</si>
  <si>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</si>
  <si>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</si>
  <si>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</si>
  <si>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</si>
  <si>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</si>
  <si>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</si>
  <si>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</si>
  <si>
    <t>تبدیل تمام سهمهای جزیی به وغدیر و یا سکه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</si>
  <si>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</si>
  <si>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</si>
  <si>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</si>
  <si>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</si>
  <si>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</si>
  <si>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</si>
  <si>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</si>
  <si>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</si>
  <si>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</si>
  <si>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</si>
  <si>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</si>
  <si>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</si>
  <si>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</si>
  <si>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</si>
  <si>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</si>
  <si>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</si>
  <si>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</si>
  <si>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</si>
  <si>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</si>
  <si>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</si>
  <si>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</si>
  <si>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</si>
  <si>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</si>
  <si>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</si>
  <si>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</si>
  <si>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</si>
  <si>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</si>
  <si>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</si>
  <si>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</si>
  <si>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</si>
  <si>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</si>
  <si>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</si>
  <si>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</si>
  <si>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</si>
  <si>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</si>
  <si>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</si>
  <si>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</si>
  <si>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</si>
  <si>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</si>
  <si>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</si>
  <si>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طلب از داریوش 10114 تا وغدیر 21/7/97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</si>
  <si>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</si>
  <si>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</si>
  <si>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</si>
  <si>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</si>
  <si>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</si>
  <si>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</si>
  <si>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</si>
  <si>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</si>
  <si>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</si>
  <si>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190.3 که 4622 تا  در حساب داریوش است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</si>
  <si>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</si>
  <si>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</si>
  <si>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</si>
  <si>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</si>
  <si>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طلب از صندوق  13/9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</si>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</sst>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32" borderId="6" xfId="0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opLeftCell="A7" workbookViewId="0">
      <selection activeCell="E17" sqref="E17"/>
    </sheetView>
  </sheetViews>
  <sheetFormatPr defaultRowHeight="15"/>
  <cols>
    <col min="2" max="2" width="14.85546875" bestFit="1" customWidth="1"/>
    <col min="3" max="3" width="14.140625" bestFit="1" customWidth="1"/>
    <col min="4" max="4" width="16.140625" bestFit="1" customWidth="1"/>
    <col min="5" max="5" width="34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4459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4468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3893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4475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4485</v>
      </c>
      <c r="B5" s="18">
        <v>1100000</v>
      </c>
      <c r="C5" s="18">
        <v>0</v>
      </c>
      <c r="D5" s="113">
        <f t="shared" si="0"/>
        <v>1100000</v>
      </c>
      <c r="E5" s="20" t="s">
        <v>4337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4493</v>
      </c>
      <c r="B6" s="18">
        <v>3000000</v>
      </c>
      <c r="C6" s="18">
        <v>0</v>
      </c>
      <c r="D6" s="113">
        <f t="shared" si="0"/>
        <v>3000000</v>
      </c>
      <c r="E6" s="19" t="s">
        <v>4494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4484</v>
      </c>
      <c r="B7" s="18">
        <v>-2000700</v>
      </c>
      <c r="C7" s="18">
        <v>0</v>
      </c>
      <c r="D7" s="113">
        <f t="shared" si="0"/>
        <v>-2000700</v>
      </c>
      <c r="E7" s="19" t="s">
        <v>4525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4484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4484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4484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4534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4534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4544</v>
      </c>
      <c r="B13" s="18">
        <v>-100000</v>
      </c>
      <c r="C13" s="18">
        <v>0</v>
      </c>
      <c r="D13" s="113">
        <f t="shared" si="0"/>
        <v>-100000</v>
      </c>
      <c r="E13" s="20" t="s">
        <v>3772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4235</v>
      </c>
      <c r="B14" s="18">
        <v>-13900</v>
      </c>
      <c r="C14" s="18">
        <v>0</v>
      </c>
      <c r="D14" s="113">
        <f t="shared" si="0"/>
        <v>-13900</v>
      </c>
      <c r="E14" s="20" t="s">
        <v>4017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4235</v>
      </c>
      <c r="B15" s="18">
        <v>300000</v>
      </c>
      <c r="C15" s="18">
        <v>0</v>
      </c>
      <c r="D15" s="117">
        <f t="shared" si="0"/>
        <v>300000</v>
      </c>
      <c r="E15" s="20" t="s">
        <v>3893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4393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4412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4423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4423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4423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4419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651494</v>
      </c>
      <c r="C27" s="113">
        <f>SUM(C2:C26)</f>
        <v>8034286</v>
      </c>
      <c r="D27" s="113">
        <f>SUM(D2:D26)</f>
        <v>-7382792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20277920</v>
      </c>
      <c r="H28" s="18">
        <f>SUM(H2:H26)</f>
        <v>241028580</v>
      </c>
      <c r="I28" s="18">
        <f>SUM(I2:I26)</f>
        <v>-220750660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0</v>
      </c>
      <c r="E33" s="41" t="s">
        <v>4522</v>
      </c>
      <c r="F33" s="96"/>
      <c r="G33" s="18">
        <v>600</v>
      </c>
      <c r="H33" s="18">
        <f>G33*H28/G28</f>
        <v>7131.754538927069</v>
      </c>
      <c r="I33" s="18">
        <f>G33*I28/G28</f>
        <v>-6531.754538927069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ht="30">
      <c r="A34" s="96"/>
      <c r="B34" s="96"/>
      <c r="C34" s="96"/>
      <c r="D34" s="114">
        <v>1000000</v>
      </c>
      <c r="E34" s="54" t="s">
        <v>4526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189200</v>
      </c>
      <c r="E35" s="54" t="s">
        <v>4528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40000</v>
      </c>
      <c r="E36" s="54" t="s">
        <v>4527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-490000</v>
      </c>
      <c r="E37" s="54" t="s">
        <v>4531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-597051</v>
      </c>
      <c r="E38" s="54" t="s">
        <v>4548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13900</v>
      </c>
      <c r="E39" s="54" t="s">
        <v>4549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2000000</v>
      </c>
      <c r="E40" s="54" t="s">
        <v>4550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-300000</v>
      </c>
      <c r="E41" s="54" t="s">
        <v>4551</v>
      </c>
      <c r="F41" s="96"/>
      <c r="G41" s="96" t="s">
        <v>25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/>
      <c r="E42" s="54"/>
      <c r="F42" s="96" t="s">
        <v>25</v>
      </c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/>
      <c r="E43" s="54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/>
      <c r="E44" s="54"/>
      <c r="F44" s="96"/>
      <c r="G44" s="96"/>
      <c r="H44" s="96" t="s">
        <v>25</v>
      </c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96"/>
      <c r="E45" s="54" t="s">
        <v>25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f>SUM(D33:D45)</f>
        <v>1856049</v>
      </c>
      <c r="E46" s="96" t="s">
        <v>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/>
      <c r="E47" s="41"/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96"/>
      <c r="E48" s="96" t="s">
        <v>25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96"/>
      <c r="E49" s="96" t="s">
        <v>25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96"/>
      <c r="E50" s="96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96"/>
      <c r="E51" s="96" t="s">
        <v>25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96"/>
      <c r="E52" s="96" t="s">
        <v>25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3" activePane="bottomLeft" state="frozen"/>
      <selection pane="bottomLeft" activeCell="F253" sqref="F253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970</v>
      </c>
      <c r="H2" s="36">
        <f>IF(B2&gt;0,1,0)</f>
        <v>1</v>
      </c>
      <c r="I2" s="11">
        <f>B2*(G2-H2)</f>
        <v>16182300</v>
      </c>
      <c r="J2" s="53">
        <f>C2*(G2-H2)</f>
        <v>16182300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969</v>
      </c>
      <c r="H3" s="36">
        <f t="shared" ref="H3:H66" si="2">IF(B3&gt;0,1,0)</f>
        <v>1</v>
      </c>
      <c r="I3" s="11">
        <f t="shared" ref="I3:I66" si="3">B3*(G3-H3)</f>
        <v>19263200000</v>
      </c>
      <c r="J3" s="53">
        <f t="shared" ref="J3:J66" si="4">C3*(G3-H3)</f>
        <v>11022616000</v>
      </c>
      <c r="K3" s="53">
        <f t="shared" ref="K3:K66" si="5">D3*(G3-H3)</f>
        <v>8240584000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969</v>
      </c>
      <c r="H4" s="36">
        <f t="shared" si="2"/>
        <v>0</v>
      </c>
      <c r="I4" s="11">
        <f t="shared" si="3"/>
        <v>0</v>
      </c>
      <c r="J4" s="53">
        <f t="shared" si="4"/>
        <v>8236500</v>
      </c>
      <c r="K4" s="53">
        <f t="shared" si="5"/>
        <v>-8236500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967</v>
      </c>
      <c r="H5" s="36">
        <f t="shared" si="2"/>
        <v>1</v>
      </c>
      <c r="I5" s="11">
        <f t="shared" si="3"/>
        <v>1932000000</v>
      </c>
      <c r="J5" s="53">
        <f t="shared" si="4"/>
        <v>0</v>
      </c>
      <c r="K5" s="53">
        <f t="shared" si="5"/>
        <v>1932000000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960</v>
      </c>
      <c r="H6" s="36">
        <f t="shared" si="2"/>
        <v>0</v>
      </c>
      <c r="I6" s="11">
        <f t="shared" si="3"/>
        <v>-4800000</v>
      </c>
      <c r="J6" s="53">
        <f t="shared" si="4"/>
        <v>0</v>
      </c>
      <c r="K6" s="53">
        <f t="shared" si="5"/>
        <v>-4800000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956</v>
      </c>
      <c r="H7" s="36">
        <f t="shared" si="2"/>
        <v>0</v>
      </c>
      <c r="I7" s="11">
        <f t="shared" si="3"/>
        <v>-1147678000</v>
      </c>
      <c r="J7" s="53">
        <f t="shared" si="4"/>
        <v>0</v>
      </c>
      <c r="K7" s="53">
        <f t="shared" si="5"/>
        <v>-1147678000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955</v>
      </c>
      <c r="H8" s="36">
        <f t="shared" si="2"/>
        <v>0</v>
      </c>
      <c r="I8" s="11">
        <f t="shared" si="3"/>
        <v>-191000000</v>
      </c>
      <c r="J8" s="53">
        <f t="shared" si="4"/>
        <v>0</v>
      </c>
      <c r="K8" s="53">
        <f t="shared" si="5"/>
        <v>-191000000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953</v>
      </c>
      <c r="H9" s="36">
        <f t="shared" si="2"/>
        <v>0</v>
      </c>
      <c r="I9" s="11">
        <f t="shared" si="3"/>
        <v>-672341500</v>
      </c>
      <c r="J9" s="53">
        <f t="shared" si="4"/>
        <v>0</v>
      </c>
      <c r="K9" s="53">
        <f t="shared" si="5"/>
        <v>-672341500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944</v>
      </c>
      <c r="H10" s="36">
        <f t="shared" si="2"/>
        <v>0</v>
      </c>
      <c r="I10" s="11">
        <f t="shared" si="3"/>
        <v>-188800000</v>
      </c>
      <c r="J10" s="53">
        <f t="shared" si="4"/>
        <v>0</v>
      </c>
      <c r="K10" s="53">
        <f t="shared" si="5"/>
        <v>-188800000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944</v>
      </c>
      <c r="H11" s="36">
        <f t="shared" si="2"/>
        <v>1</v>
      </c>
      <c r="I11" s="11">
        <f t="shared" si="3"/>
        <v>943000000</v>
      </c>
      <c r="J11" s="53">
        <f t="shared" si="4"/>
        <v>0</v>
      </c>
      <c r="K11" s="53">
        <f t="shared" si="5"/>
        <v>943000000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940</v>
      </c>
      <c r="H12" s="36">
        <f t="shared" si="2"/>
        <v>0</v>
      </c>
      <c r="I12" s="11">
        <f t="shared" si="3"/>
        <v>-282000000</v>
      </c>
      <c r="J12" s="53">
        <f t="shared" si="4"/>
        <v>0</v>
      </c>
      <c r="K12" s="53">
        <f t="shared" si="5"/>
        <v>-282000000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935</v>
      </c>
      <c r="H13" s="36">
        <f t="shared" si="2"/>
        <v>0</v>
      </c>
      <c r="I13" s="11">
        <f t="shared" si="3"/>
        <v>-57970000</v>
      </c>
      <c r="J13" s="53">
        <f t="shared" si="4"/>
        <v>0</v>
      </c>
      <c r="K13" s="53">
        <f t="shared" si="5"/>
        <v>-57970000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935</v>
      </c>
      <c r="H14" s="36">
        <f t="shared" si="2"/>
        <v>1</v>
      </c>
      <c r="I14" s="11">
        <f t="shared" si="3"/>
        <v>1868000000</v>
      </c>
      <c r="J14" s="53">
        <f t="shared" si="4"/>
        <v>0</v>
      </c>
      <c r="K14" s="53">
        <f t="shared" si="5"/>
        <v>1868000000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934</v>
      </c>
      <c r="H15" s="36">
        <f t="shared" si="2"/>
        <v>1</v>
      </c>
      <c r="I15" s="11">
        <f t="shared" si="3"/>
        <v>1679400000</v>
      </c>
      <c r="J15" s="53">
        <f t="shared" si="4"/>
        <v>0</v>
      </c>
      <c r="K15" s="53">
        <f t="shared" si="5"/>
        <v>1679400000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934</v>
      </c>
      <c r="H16" s="36">
        <f t="shared" si="2"/>
        <v>0</v>
      </c>
      <c r="I16" s="11">
        <f t="shared" si="3"/>
        <v>-186800000</v>
      </c>
      <c r="J16" s="53">
        <f t="shared" si="4"/>
        <v>0</v>
      </c>
      <c r="K16" s="53">
        <f t="shared" si="5"/>
        <v>-186800000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930</v>
      </c>
      <c r="H17" s="36">
        <f t="shared" si="2"/>
        <v>0</v>
      </c>
      <c r="I17" s="11">
        <f t="shared" si="3"/>
        <v>-1860000000</v>
      </c>
      <c r="J17" s="53">
        <f t="shared" si="4"/>
        <v>0</v>
      </c>
      <c r="K17" s="53">
        <f t="shared" si="5"/>
        <v>-1860000000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929</v>
      </c>
      <c r="H18" s="36">
        <f t="shared" si="2"/>
        <v>0</v>
      </c>
      <c r="I18" s="11">
        <f t="shared" si="3"/>
        <v>-278700000</v>
      </c>
      <c r="J18" s="53">
        <f t="shared" si="4"/>
        <v>0</v>
      </c>
      <c r="K18" s="53">
        <f t="shared" si="5"/>
        <v>-278700000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928</v>
      </c>
      <c r="H19" s="36">
        <f t="shared" si="2"/>
        <v>0</v>
      </c>
      <c r="I19" s="11">
        <f t="shared" si="3"/>
        <v>-185600000</v>
      </c>
      <c r="J19" s="53">
        <f t="shared" si="4"/>
        <v>0</v>
      </c>
      <c r="K19" s="53">
        <f t="shared" si="5"/>
        <v>-185600000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926</v>
      </c>
      <c r="H20" s="36">
        <f t="shared" si="2"/>
        <v>1</v>
      </c>
      <c r="I20" s="11">
        <f t="shared" si="3"/>
        <v>250757325</v>
      </c>
      <c r="J20" s="53">
        <f t="shared" si="4"/>
        <v>136393100</v>
      </c>
      <c r="K20" s="53">
        <f t="shared" si="5"/>
        <v>114364225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924</v>
      </c>
      <c r="H21" s="36">
        <f t="shared" si="2"/>
        <v>0</v>
      </c>
      <c r="I21" s="11">
        <f t="shared" si="3"/>
        <v>-1391266800</v>
      </c>
      <c r="J21" s="53">
        <f t="shared" si="4"/>
        <v>0</v>
      </c>
      <c r="K21" s="53">
        <f t="shared" si="5"/>
        <v>-1391266800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921</v>
      </c>
      <c r="H22" s="36">
        <f t="shared" si="2"/>
        <v>1</v>
      </c>
      <c r="I22" s="11">
        <f t="shared" si="3"/>
        <v>2760000000</v>
      </c>
      <c r="J22" s="53">
        <f t="shared" si="4"/>
        <v>0</v>
      </c>
      <c r="K22" s="53">
        <f t="shared" si="5"/>
        <v>2760000000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920</v>
      </c>
      <c r="H23" s="36">
        <f t="shared" si="2"/>
        <v>1</v>
      </c>
      <c r="I23" s="11">
        <f t="shared" si="3"/>
        <v>919000000</v>
      </c>
      <c r="J23" s="53">
        <f t="shared" si="4"/>
        <v>0</v>
      </c>
      <c r="K23" s="53">
        <f t="shared" si="5"/>
        <v>919000000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919</v>
      </c>
      <c r="H24" s="36">
        <f t="shared" si="2"/>
        <v>0</v>
      </c>
      <c r="I24" s="11">
        <f t="shared" si="3"/>
        <v>-2757827100</v>
      </c>
      <c r="J24" s="53">
        <f t="shared" si="4"/>
        <v>0</v>
      </c>
      <c r="K24" s="53">
        <f t="shared" si="5"/>
        <v>-2757827100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904</v>
      </c>
      <c r="H25" s="36">
        <f t="shared" si="2"/>
        <v>1</v>
      </c>
      <c r="I25" s="11">
        <f t="shared" si="3"/>
        <v>1354500000</v>
      </c>
      <c r="J25" s="53">
        <f t="shared" si="4"/>
        <v>0</v>
      </c>
      <c r="K25" s="53">
        <f t="shared" si="5"/>
        <v>1354500000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896</v>
      </c>
      <c r="H26" s="36">
        <f t="shared" si="2"/>
        <v>0</v>
      </c>
      <c r="I26" s="11">
        <f t="shared" si="3"/>
        <v>-146944000</v>
      </c>
      <c r="J26" s="53">
        <f t="shared" si="4"/>
        <v>0</v>
      </c>
      <c r="K26" s="53">
        <f t="shared" si="5"/>
        <v>-146944000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895</v>
      </c>
      <c r="H27" s="36">
        <f t="shared" si="2"/>
        <v>1</v>
      </c>
      <c r="I27" s="11">
        <f t="shared" si="3"/>
        <v>178257342</v>
      </c>
      <c r="J27" s="53">
        <f t="shared" si="4"/>
        <v>96027222</v>
      </c>
      <c r="K27" s="53">
        <f t="shared" si="5"/>
        <v>82230120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893</v>
      </c>
      <c r="H28" s="36">
        <f t="shared" si="2"/>
        <v>0</v>
      </c>
      <c r="I28" s="11">
        <f t="shared" si="3"/>
        <v>-197353000</v>
      </c>
      <c r="J28" s="53">
        <f t="shared" si="4"/>
        <v>-197353000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893</v>
      </c>
      <c r="H29" s="36">
        <f t="shared" si="2"/>
        <v>0</v>
      </c>
      <c r="I29" s="11">
        <f t="shared" si="3"/>
        <v>-446946500</v>
      </c>
      <c r="J29" s="53">
        <f t="shared" si="4"/>
        <v>0</v>
      </c>
      <c r="K29" s="53">
        <f t="shared" si="5"/>
        <v>-446946500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893</v>
      </c>
      <c r="H30" s="36">
        <f t="shared" si="2"/>
        <v>0</v>
      </c>
      <c r="I30" s="11">
        <f t="shared" si="3"/>
        <v>-13395000000</v>
      </c>
      <c r="J30" s="53">
        <f t="shared" si="4"/>
        <v>-13395000000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876</v>
      </c>
      <c r="H31" s="36">
        <f t="shared" si="2"/>
        <v>0</v>
      </c>
      <c r="I31" s="11">
        <f t="shared" si="3"/>
        <v>-2637548400</v>
      </c>
      <c r="J31" s="53">
        <f t="shared" si="4"/>
        <v>0</v>
      </c>
      <c r="K31" s="53">
        <f t="shared" si="5"/>
        <v>-2637548400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874</v>
      </c>
      <c r="H32" s="36">
        <f t="shared" si="2"/>
        <v>0</v>
      </c>
      <c r="I32" s="11">
        <f t="shared" si="3"/>
        <v>-2627156600</v>
      </c>
      <c r="J32" s="53">
        <f t="shared" si="4"/>
        <v>0</v>
      </c>
      <c r="K32" s="53">
        <f t="shared" si="5"/>
        <v>-2627156600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873</v>
      </c>
      <c r="H33" s="36">
        <f t="shared" si="2"/>
        <v>0</v>
      </c>
      <c r="I33" s="11">
        <f t="shared" si="3"/>
        <v>-781771500</v>
      </c>
      <c r="J33" s="53">
        <f t="shared" si="4"/>
        <v>0</v>
      </c>
      <c r="K33" s="53">
        <f t="shared" si="5"/>
        <v>-781771500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873</v>
      </c>
      <c r="H34" s="36">
        <f t="shared" si="2"/>
        <v>0</v>
      </c>
      <c r="I34" s="11">
        <f t="shared" si="3"/>
        <v>0</v>
      </c>
      <c r="J34" s="53">
        <f t="shared" si="4"/>
        <v>873000000</v>
      </c>
      <c r="K34" s="53">
        <f t="shared" si="5"/>
        <v>-873000000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864</v>
      </c>
      <c r="H35" s="36">
        <f t="shared" si="2"/>
        <v>1</v>
      </c>
      <c r="I35" s="11">
        <f t="shared" si="3"/>
        <v>45283336</v>
      </c>
      <c r="J35" s="53">
        <f t="shared" si="4"/>
        <v>-18695169</v>
      </c>
      <c r="K35" s="53">
        <f t="shared" si="5"/>
        <v>63978505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864</v>
      </c>
      <c r="H36" s="36">
        <f t="shared" si="2"/>
        <v>0</v>
      </c>
      <c r="I36" s="11">
        <f t="shared" si="3"/>
        <v>0</v>
      </c>
      <c r="J36" s="53">
        <f t="shared" si="4"/>
        <v>18716832</v>
      </c>
      <c r="K36" s="53">
        <f t="shared" si="5"/>
        <v>-18716832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854</v>
      </c>
      <c r="H37" s="36">
        <f t="shared" si="2"/>
        <v>0</v>
      </c>
      <c r="I37" s="11">
        <f t="shared" si="3"/>
        <v>-46970000</v>
      </c>
      <c r="J37" s="53">
        <f t="shared" si="4"/>
        <v>0</v>
      </c>
      <c r="K37" s="53">
        <f t="shared" si="5"/>
        <v>-46970000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853</v>
      </c>
      <c r="H38" s="36">
        <f t="shared" si="2"/>
        <v>1</v>
      </c>
      <c r="I38" s="11">
        <f t="shared" si="3"/>
        <v>2556000000</v>
      </c>
      <c r="J38" s="53">
        <f t="shared" si="4"/>
        <v>2556000000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852</v>
      </c>
      <c r="H39" s="36">
        <f t="shared" si="2"/>
        <v>1</v>
      </c>
      <c r="I39" s="11">
        <f t="shared" si="3"/>
        <v>2127500000</v>
      </c>
      <c r="J39" s="53">
        <f t="shared" si="4"/>
        <v>2127500000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852</v>
      </c>
      <c r="H40" s="36">
        <f t="shared" si="2"/>
        <v>0</v>
      </c>
      <c r="I40" s="11">
        <f t="shared" si="3"/>
        <v>-42600000</v>
      </c>
      <c r="J40" s="53">
        <f t="shared" si="4"/>
        <v>0</v>
      </c>
      <c r="K40" s="53">
        <f t="shared" si="5"/>
        <v>-42600000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852</v>
      </c>
      <c r="H41" s="36">
        <f t="shared" si="2"/>
        <v>1</v>
      </c>
      <c r="I41" s="11">
        <f t="shared" si="3"/>
        <v>2553000000</v>
      </c>
      <c r="J41" s="53">
        <f t="shared" si="4"/>
        <v>0</v>
      </c>
      <c r="K41" s="53">
        <f t="shared" si="5"/>
        <v>2553000000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849</v>
      </c>
      <c r="H42" s="36">
        <f t="shared" si="2"/>
        <v>0</v>
      </c>
      <c r="I42" s="11">
        <f t="shared" si="3"/>
        <v>-75730800</v>
      </c>
      <c r="J42" s="53">
        <f t="shared" si="4"/>
        <v>0</v>
      </c>
      <c r="K42" s="53">
        <f t="shared" si="5"/>
        <v>-75730800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845</v>
      </c>
      <c r="H43" s="36">
        <f t="shared" si="2"/>
        <v>0</v>
      </c>
      <c r="I43" s="11">
        <f t="shared" si="3"/>
        <v>-169000000</v>
      </c>
      <c r="J43" s="53">
        <f t="shared" si="4"/>
        <v>0</v>
      </c>
      <c r="K43" s="53">
        <f t="shared" si="5"/>
        <v>-169000000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843</v>
      </c>
      <c r="H44" s="36">
        <f t="shared" si="2"/>
        <v>0</v>
      </c>
      <c r="I44" s="11">
        <f t="shared" si="3"/>
        <v>-168600000</v>
      </c>
      <c r="J44" s="53">
        <f t="shared" si="4"/>
        <v>0</v>
      </c>
      <c r="K44" s="53">
        <f t="shared" si="5"/>
        <v>-168600000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843</v>
      </c>
      <c r="H45" s="36">
        <f t="shared" si="2"/>
        <v>0</v>
      </c>
      <c r="I45" s="11">
        <f t="shared" si="3"/>
        <v>-472080000</v>
      </c>
      <c r="J45" s="53">
        <f t="shared" si="4"/>
        <v>0</v>
      </c>
      <c r="K45" s="53">
        <f t="shared" si="5"/>
        <v>-472080000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839</v>
      </c>
      <c r="H46" s="36">
        <f t="shared" si="2"/>
        <v>0</v>
      </c>
      <c r="I46" s="11">
        <f t="shared" si="3"/>
        <v>-591914500</v>
      </c>
      <c r="J46" s="53">
        <f t="shared" si="4"/>
        <v>0</v>
      </c>
      <c r="K46" s="53">
        <f t="shared" si="5"/>
        <v>-591914500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833</v>
      </c>
      <c r="H47" s="36">
        <f t="shared" si="2"/>
        <v>1</v>
      </c>
      <c r="I47" s="11">
        <f t="shared" si="3"/>
        <v>34281728</v>
      </c>
      <c r="J47" s="53">
        <f t="shared" si="4"/>
        <v>5585216</v>
      </c>
      <c r="K47" s="53">
        <f t="shared" si="5"/>
        <v>28696512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833</v>
      </c>
      <c r="H48" s="36">
        <f t="shared" si="2"/>
        <v>1</v>
      </c>
      <c r="I48" s="11">
        <f t="shared" si="3"/>
        <v>1418310400</v>
      </c>
      <c r="J48" s="53">
        <f t="shared" si="4"/>
        <v>0</v>
      </c>
      <c r="K48" s="53">
        <f t="shared" si="5"/>
        <v>1418310400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824</v>
      </c>
      <c r="H49" s="36">
        <f t="shared" si="2"/>
        <v>0</v>
      </c>
      <c r="I49" s="11">
        <f t="shared" si="3"/>
        <v>-127720000</v>
      </c>
      <c r="J49" s="53">
        <f t="shared" si="4"/>
        <v>0</v>
      </c>
      <c r="K49" s="53">
        <f t="shared" si="5"/>
        <v>-127720000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824</v>
      </c>
      <c r="H50" s="36">
        <f t="shared" si="2"/>
        <v>0</v>
      </c>
      <c r="I50" s="11">
        <f t="shared" si="3"/>
        <v>-113712000</v>
      </c>
      <c r="J50" s="53">
        <f t="shared" si="4"/>
        <v>0</v>
      </c>
      <c r="K50" s="53">
        <f t="shared" si="5"/>
        <v>-113712000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824</v>
      </c>
      <c r="H51" s="36">
        <f t="shared" si="2"/>
        <v>0</v>
      </c>
      <c r="I51" s="11">
        <f t="shared" si="3"/>
        <v>-609760000</v>
      </c>
      <c r="J51" s="53">
        <f t="shared" si="4"/>
        <v>0</v>
      </c>
      <c r="K51" s="53">
        <f t="shared" si="5"/>
        <v>-609760000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824</v>
      </c>
      <c r="H52" s="36">
        <f t="shared" si="2"/>
        <v>0</v>
      </c>
      <c r="I52" s="11">
        <f t="shared" si="3"/>
        <v>-164800000</v>
      </c>
      <c r="J52" s="53">
        <f t="shared" si="4"/>
        <v>0</v>
      </c>
      <c r="K52" s="53">
        <f t="shared" si="5"/>
        <v>-164800000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823</v>
      </c>
      <c r="H53" s="36">
        <f t="shared" si="2"/>
        <v>0</v>
      </c>
      <c r="I53" s="11">
        <f t="shared" si="3"/>
        <v>-868265000</v>
      </c>
      <c r="J53" s="53">
        <f t="shared" si="4"/>
        <v>0</v>
      </c>
      <c r="K53" s="53">
        <f t="shared" si="5"/>
        <v>-868265000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823</v>
      </c>
      <c r="H54" s="36">
        <f t="shared" si="2"/>
        <v>0</v>
      </c>
      <c r="I54" s="11">
        <f t="shared" si="3"/>
        <v>-164600000</v>
      </c>
      <c r="J54" s="53">
        <f t="shared" si="4"/>
        <v>0</v>
      </c>
      <c r="K54" s="53">
        <f t="shared" si="5"/>
        <v>-164600000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823</v>
      </c>
      <c r="H55" s="36">
        <f t="shared" si="2"/>
        <v>0</v>
      </c>
      <c r="I55" s="11">
        <f t="shared" si="3"/>
        <v>-823411500</v>
      </c>
      <c r="J55" s="53">
        <f t="shared" si="4"/>
        <v>0</v>
      </c>
      <c r="K55" s="53">
        <f t="shared" si="5"/>
        <v>-823411500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823</v>
      </c>
      <c r="H56" s="36">
        <f t="shared" si="2"/>
        <v>0</v>
      </c>
      <c r="I56" s="11">
        <f t="shared" si="3"/>
        <v>-31274000</v>
      </c>
      <c r="J56" s="53">
        <f t="shared" si="4"/>
        <v>0</v>
      </c>
      <c r="K56" s="53">
        <f t="shared" si="5"/>
        <v>-31274000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823</v>
      </c>
      <c r="H57" s="36">
        <f t="shared" si="2"/>
        <v>0</v>
      </c>
      <c r="I57" s="11">
        <f t="shared" si="3"/>
        <v>-86415000</v>
      </c>
      <c r="J57" s="53">
        <f t="shared" si="4"/>
        <v>0</v>
      </c>
      <c r="K57" s="53">
        <f t="shared" si="5"/>
        <v>-86415000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823</v>
      </c>
      <c r="H58" s="36">
        <f t="shared" si="2"/>
        <v>0</v>
      </c>
      <c r="I58" s="11">
        <f t="shared" si="3"/>
        <v>-49380000</v>
      </c>
      <c r="J58" s="53">
        <f t="shared" si="4"/>
        <v>0</v>
      </c>
      <c r="K58" s="53">
        <f t="shared" si="5"/>
        <v>-49380000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820</v>
      </c>
      <c r="H59" s="36">
        <f t="shared" si="2"/>
        <v>1</v>
      </c>
      <c r="I59" s="11">
        <f t="shared" si="3"/>
        <v>819000000</v>
      </c>
      <c r="J59" s="53">
        <f t="shared" si="4"/>
        <v>819000000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819</v>
      </c>
      <c r="H60" s="36">
        <f t="shared" si="2"/>
        <v>1</v>
      </c>
      <c r="I60" s="11">
        <f t="shared" si="3"/>
        <v>2863000000</v>
      </c>
      <c r="J60" s="53">
        <f t="shared" si="4"/>
        <v>2863000000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817</v>
      </c>
      <c r="H61" s="36">
        <f t="shared" si="2"/>
        <v>1</v>
      </c>
      <c r="I61" s="11">
        <f t="shared" si="3"/>
        <v>816000000</v>
      </c>
      <c r="J61" s="53">
        <f t="shared" si="4"/>
        <v>816000000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817</v>
      </c>
      <c r="H62" s="36">
        <f t="shared" si="2"/>
        <v>1</v>
      </c>
      <c r="I62" s="11">
        <f t="shared" si="3"/>
        <v>2448000000</v>
      </c>
      <c r="J62" s="53">
        <f t="shared" si="4"/>
        <v>2448000000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815</v>
      </c>
      <c r="H63" s="36">
        <f t="shared" si="2"/>
        <v>0</v>
      </c>
      <c r="I63" s="11">
        <f t="shared" si="3"/>
        <v>-163000000</v>
      </c>
      <c r="J63" s="53">
        <f t="shared" si="4"/>
        <v>0</v>
      </c>
      <c r="K63" s="53">
        <f t="shared" si="5"/>
        <v>-163000000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810</v>
      </c>
      <c r="H64" s="36">
        <f t="shared" si="2"/>
        <v>0</v>
      </c>
      <c r="I64" s="11">
        <f t="shared" si="3"/>
        <v>-40500000</v>
      </c>
      <c r="J64" s="53">
        <f t="shared" si="4"/>
        <v>0</v>
      </c>
      <c r="K64" s="53">
        <f t="shared" si="5"/>
        <v>-40500000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806</v>
      </c>
      <c r="H65" s="36">
        <f t="shared" si="2"/>
        <v>0</v>
      </c>
      <c r="I65" s="11">
        <f t="shared" si="3"/>
        <v>-161200000</v>
      </c>
      <c r="J65" s="53">
        <f t="shared" si="4"/>
        <v>0</v>
      </c>
      <c r="K65" s="53">
        <f t="shared" si="5"/>
        <v>-161200000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803</v>
      </c>
      <c r="H66" s="36">
        <f t="shared" si="2"/>
        <v>0</v>
      </c>
      <c r="I66" s="11">
        <f t="shared" si="3"/>
        <v>-136510000</v>
      </c>
      <c r="J66" s="53">
        <f t="shared" si="4"/>
        <v>0</v>
      </c>
      <c r="K66" s="53">
        <f t="shared" si="5"/>
        <v>-136510000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802</v>
      </c>
      <c r="H67" s="36">
        <f t="shared" ref="H67:H131" si="8">IF(B67&gt;0,1,0)</f>
        <v>1</v>
      </c>
      <c r="I67" s="11">
        <f t="shared" ref="I67:I119" si="9">B67*(G67-H67)</f>
        <v>73151325</v>
      </c>
      <c r="J67" s="53">
        <f t="shared" ref="J67:J131" si="10">C67*(G67-H67)</f>
        <v>52644123</v>
      </c>
      <c r="K67" s="53">
        <f t="shared" ref="K67:K131" si="11">D67*(G67-H67)</f>
        <v>20507202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784</v>
      </c>
      <c r="H68" s="36">
        <f t="shared" si="8"/>
        <v>0</v>
      </c>
      <c r="I68" s="11">
        <f t="shared" si="9"/>
        <v>-113680000</v>
      </c>
      <c r="J68" s="53">
        <f t="shared" si="10"/>
        <v>0</v>
      </c>
      <c r="K68" s="53">
        <f t="shared" si="11"/>
        <v>-113680000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777</v>
      </c>
      <c r="H69" s="36">
        <f t="shared" si="8"/>
        <v>1</v>
      </c>
      <c r="I69" s="11">
        <f t="shared" si="9"/>
        <v>760480000</v>
      </c>
      <c r="J69" s="53">
        <f t="shared" si="10"/>
        <v>0</v>
      </c>
      <c r="K69" s="53">
        <f t="shared" si="11"/>
        <v>760480000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774</v>
      </c>
      <c r="H70" s="36">
        <f t="shared" si="8"/>
        <v>0</v>
      </c>
      <c r="I70" s="11">
        <f t="shared" si="9"/>
        <v>-35604000</v>
      </c>
      <c r="J70" s="53">
        <f t="shared" si="10"/>
        <v>0</v>
      </c>
      <c r="K70" s="53">
        <f t="shared" si="11"/>
        <v>-35604000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772</v>
      </c>
      <c r="H71" s="36">
        <f t="shared" si="8"/>
        <v>1</v>
      </c>
      <c r="I71" s="11">
        <f t="shared" si="9"/>
        <v>88925598</v>
      </c>
      <c r="J71" s="53">
        <f t="shared" si="10"/>
        <v>80039052</v>
      </c>
      <c r="K71" s="53">
        <f t="shared" si="11"/>
        <v>8886546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771</v>
      </c>
      <c r="H72" s="36">
        <f t="shared" si="8"/>
        <v>0</v>
      </c>
      <c r="I72" s="11">
        <f t="shared" si="9"/>
        <v>-117168099</v>
      </c>
      <c r="J72" s="53">
        <f t="shared" si="10"/>
        <v>0</v>
      </c>
      <c r="K72" s="53">
        <f t="shared" si="11"/>
        <v>-117168099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770</v>
      </c>
      <c r="H73" s="36">
        <f t="shared" si="8"/>
        <v>0</v>
      </c>
      <c r="I73" s="11">
        <f t="shared" si="9"/>
        <v>-620235000</v>
      </c>
      <c r="J73" s="53">
        <f t="shared" si="10"/>
        <v>0</v>
      </c>
      <c r="K73" s="53">
        <f t="shared" si="11"/>
        <v>-620235000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763</v>
      </c>
      <c r="H74" s="36">
        <f t="shared" si="8"/>
        <v>1</v>
      </c>
      <c r="I74" s="11">
        <f t="shared" si="9"/>
        <v>5330190000</v>
      </c>
      <c r="J74" s="53">
        <f t="shared" si="10"/>
        <v>0</v>
      </c>
      <c r="K74" s="53">
        <f t="shared" si="11"/>
        <v>5330190000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762</v>
      </c>
      <c r="H75" s="36">
        <f t="shared" si="8"/>
        <v>1</v>
      </c>
      <c r="I75" s="11">
        <f t="shared" si="9"/>
        <v>2283000000</v>
      </c>
      <c r="J75" s="53">
        <f t="shared" si="10"/>
        <v>0</v>
      </c>
      <c r="K75" s="53">
        <f t="shared" si="11"/>
        <v>2283000000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760</v>
      </c>
      <c r="H76" s="36">
        <f t="shared" si="8"/>
        <v>1</v>
      </c>
      <c r="I76" s="11">
        <f t="shared" si="9"/>
        <v>2277000000</v>
      </c>
      <c r="J76" s="53">
        <f t="shared" si="10"/>
        <v>0</v>
      </c>
      <c r="K76" s="53">
        <f t="shared" si="11"/>
        <v>2277000000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759</v>
      </c>
      <c r="H77" s="36">
        <f t="shared" si="8"/>
        <v>1</v>
      </c>
      <c r="I77" s="11">
        <f t="shared" si="9"/>
        <v>2274000000</v>
      </c>
      <c r="J77" s="53">
        <f t="shared" si="10"/>
        <v>0</v>
      </c>
      <c r="K77" s="53">
        <f t="shared" si="11"/>
        <v>2274000000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758</v>
      </c>
      <c r="H78" s="36">
        <f t="shared" si="8"/>
        <v>0</v>
      </c>
      <c r="I78" s="11">
        <f t="shared" si="9"/>
        <v>-2425600000</v>
      </c>
      <c r="J78" s="53">
        <f t="shared" si="10"/>
        <v>-2425600000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757</v>
      </c>
      <c r="H79" s="36">
        <f t="shared" si="8"/>
        <v>0</v>
      </c>
      <c r="I79" s="11">
        <f t="shared" si="9"/>
        <v>-605600000</v>
      </c>
      <c r="J79" s="53">
        <f t="shared" si="10"/>
        <v>-605600000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756</v>
      </c>
      <c r="H80" s="36">
        <f t="shared" si="8"/>
        <v>0</v>
      </c>
      <c r="I80" s="11">
        <f t="shared" si="9"/>
        <v>-36585108</v>
      </c>
      <c r="J80" s="53">
        <f t="shared" si="10"/>
        <v>0</v>
      </c>
      <c r="K80" s="53">
        <f t="shared" si="11"/>
        <v>-36585108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755</v>
      </c>
      <c r="H81" s="36">
        <f t="shared" si="8"/>
        <v>0</v>
      </c>
      <c r="I81" s="11">
        <f t="shared" si="9"/>
        <v>-105700000</v>
      </c>
      <c r="J81" s="53">
        <f t="shared" si="10"/>
        <v>0</v>
      </c>
      <c r="K81" s="53">
        <f t="shared" si="11"/>
        <v>-105700000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754</v>
      </c>
      <c r="H82" s="36">
        <f t="shared" si="8"/>
        <v>0</v>
      </c>
      <c r="I82" s="11">
        <f t="shared" si="9"/>
        <v>-188500000</v>
      </c>
      <c r="J82" s="53">
        <f t="shared" si="10"/>
        <v>0</v>
      </c>
      <c r="K82" s="53">
        <f t="shared" si="11"/>
        <v>-188500000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753</v>
      </c>
      <c r="H83" s="36">
        <f t="shared" si="8"/>
        <v>0</v>
      </c>
      <c r="I83" s="11">
        <f t="shared" si="9"/>
        <v>-150600000</v>
      </c>
      <c r="J83" s="53">
        <f t="shared" si="10"/>
        <v>0</v>
      </c>
      <c r="K83" s="53">
        <f t="shared" si="11"/>
        <v>-150600000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750</v>
      </c>
      <c r="H84" s="36">
        <f t="shared" si="8"/>
        <v>1</v>
      </c>
      <c r="I84" s="11">
        <f t="shared" si="9"/>
        <v>1224764800</v>
      </c>
      <c r="J84" s="53">
        <f t="shared" si="10"/>
        <v>0</v>
      </c>
      <c r="K84" s="53">
        <f t="shared" si="11"/>
        <v>1224764800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746</v>
      </c>
      <c r="H85" s="36">
        <f t="shared" si="8"/>
        <v>1</v>
      </c>
      <c r="I85" s="11">
        <f t="shared" si="9"/>
        <v>1862500000</v>
      </c>
      <c r="J85" s="53">
        <f t="shared" si="10"/>
        <v>0</v>
      </c>
      <c r="K85" s="53">
        <f t="shared" si="11"/>
        <v>1862500000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742</v>
      </c>
      <c r="H86" s="36">
        <f t="shared" si="8"/>
        <v>1</v>
      </c>
      <c r="I86" s="11">
        <f t="shared" si="9"/>
        <v>138048300</v>
      </c>
      <c r="J86" s="53">
        <f t="shared" si="10"/>
        <v>62947950</v>
      </c>
      <c r="K86" s="53">
        <f t="shared" si="11"/>
        <v>75100350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739</v>
      </c>
      <c r="H87" s="36">
        <f t="shared" si="8"/>
        <v>0</v>
      </c>
      <c r="I87" s="11">
        <f t="shared" si="9"/>
        <v>-147800000</v>
      </c>
      <c r="J87" s="53">
        <f t="shared" si="10"/>
        <v>0</v>
      </c>
      <c r="K87" s="53">
        <f t="shared" si="11"/>
        <v>-147800000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738</v>
      </c>
      <c r="H88" s="36">
        <f t="shared" si="8"/>
        <v>0</v>
      </c>
      <c r="I88" s="11">
        <f t="shared" si="9"/>
        <v>-87084000</v>
      </c>
      <c r="J88" s="53">
        <f t="shared" si="10"/>
        <v>-50922000</v>
      </c>
      <c r="K88" s="53">
        <f t="shared" si="11"/>
        <v>-36162000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730</v>
      </c>
      <c r="H89" s="36">
        <f t="shared" si="8"/>
        <v>0</v>
      </c>
      <c r="I89" s="11">
        <f t="shared" si="9"/>
        <v>-2336657000</v>
      </c>
      <c r="J89" s="53">
        <f t="shared" si="10"/>
        <v>0</v>
      </c>
      <c r="K89" s="53">
        <f t="shared" si="11"/>
        <v>-2336657000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729</v>
      </c>
      <c r="H90" s="36">
        <f t="shared" si="8"/>
        <v>0</v>
      </c>
      <c r="I90" s="11">
        <f t="shared" si="9"/>
        <v>-2333456100</v>
      </c>
      <c r="J90" s="53">
        <f t="shared" si="10"/>
        <v>0</v>
      </c>
      <c r="K90" s="53">
        <f t="shared" si="11"/>
        <v>-2333456100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728</v>
      </c>
      <c r="H91" s="36">
        <f t="shared" si="8"/>
        <v>0</v>
      </c>
      <c r="I91" s="11">
        <f t="shared" si="9"/>
        <v>-2330255200</v>
      </c>
      <c r="J91" s="53">
        <f t="shared" si="10"/>
        <v>0</v>
      </c>
      <c r="K91" s="53">
        <f t="shared" si="11"/>
        <v>-2330255200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727</v>
      </c>
      <c r="H92" s="36">
        <f t="shared" si="8"/>
        <v>0</v>
      </c>
      <c r="I92" s="11">
        <f t="shared" si="9"/>
        <v>-2327054300</v>
      </c>
      <c r="J92" s="53">
        <f t="shared" si="10"/>
        <v>0</v>
      </c>
      <c r="K92" s="53">
        <f t="shared" si="11"/>
        <v>-2327054300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726</v>
      </c>
      <c r="H93" s="36">
        <f t="shared" si="8"/>
        <v>0</v>
      </c>
      <c r="I93" s="11">
        <f t="shared" si="9"/>
        <v>-2323853400</v>
      </c>
      <c r="J93" s="53">
        <f t="shared" si="10"/>
        <v>0</v>
      </c>
      <c r="K93" s="53">
        <f t="shared" si="11"/>
        <v>-2323853400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725</v>
      </c>
      <c r="H94" s="36">
        <f t="shared" si="8"/>
        <v>0</v>
      </c>
      <c r="I94" s="11">
        <f t="shared" si="9"/>
        <v>-2320652500</v>
      </c>
      <c r="J94" s="53">
        <f t="shared" si="10"/>
        <v>0</v>
      </c>
      <c r="K94" s="53">
        <f t="shared" si="11"/>
        <v>-2320652500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723</v>
      </c>
      <c r="H95" s="36">
        <f t="shared" si="8"/>
        <v>0</v>
      </c>
      <c r="I95" s="11">
        <f t="shared" si="9"/>
        <v>-865138908</v>
      </c>
      <c r="J95" s="53">
        <f t="shared" si="10"/>
        <v>0</v>
      </c>
      <c r="K95" s="53">
        <f t="shared" si="11"/>
        <v>-865138908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713</v>
      </c>
      <c r="H96" s="36">
        <f t="shared" si="8"/>
        <v>0</v>
      </c>
      <c r="I96" s="11">
        <f t="shared" si="9"/>
        <v>-142600000</v>
      </c>
      <c r="J96" s="53">
        <f t="shared" si="10"/>
        <v>0</v>
      </c>
      <c r="K96" s="53">
        <f t="shared" si="11"/>
        <v>-142600000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712</v>
      </c>
      <c r="H97" s="36">
        <f t="shared" si="8"/>
        <v>1</v>
      </c>
      <c r="I97" s="11">
        <f t="shared" si="9"/>
        <v>113445738</v>
      </c>
      <c r="J97" s="53">
        <f t="shared" si="10"/>
        <v>49006386</v>
      </c>
      <c r="K97" s="53">
        <f t="shared" si="11"/>
        <v>64439352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707</v>
      </c>
      <c r="H98" s="36">
        <f t="shared" si="8"/>
        <v>1</v>
      </c>
      <c r="I98" s="11">
        <f t="shared" si="9"/>
        <v>80743808</v>
      </c>
      <c r="J98" s="53">
        <f t="shared" si="10"/>
        <v>0</v>
      </c>
      <c r="K98" s="53">
        <f t="shared" si="11"/>
        <v>80743808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704</v>
      </c>
      <c r="H99" s="36">
        <f t="shared" si="8"/>
        <v>0</v>
      </c>
      <c r="I99" s="11">
        <f t="shared" si="9"/>
        <v>-932800000</v>
      </c>
      <c r="J99" s="53">
        <f t="shared" si="10"/>
        <v>0</v>
      </c>
      <c r="K99" s="53">
        <f t="shared" si="11"/>
        <v>-932800000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699</v>
      </c>
      <c r="H100" s="36">
        <f t="shared" si="8"/>
        <v>1</v>
      </c>
      <c r="I100" s="11">
        <f t="shared" si="9"/>
        <v>924850000</v>
      </c>
      <c r="J100" s="53">
        <f t="shared" si="10"/>
        <v>0</v>
      </c>
      <c r="K100" s="53">
        <f t="shared" si="11"/>
        <v>924850000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682</v>
      </c>
      <c r="H101" s="36">
        <f t="shared" si="8"/>
        <v>1</v>
      </c>
      <c r="I101" s="11">
        <f t="shared" si="9"/>
        <v>45521445</v>
      </c>
      <c r="J101" s="53">
        <f t="shared" si="10"/>
        <v>45521445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679</v>
      </c>
      <c r="H102" s="36">
        <f t="shared" si="8"/>
        <v>1</v>
      </c>
      <c r="I102" s="11">
        <f t="shared" si="9"/>
        <v>2034000000</v>
      </c>
      <c r="J102" s="53">
        <f t="shared" si="10"/>
        <v>0</v>
      </c>
      <c r="K102" s="53">
        <f t="shared" si="11"/>
        <v>2034000000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672</v>
      </c>
      <c r="H103" s="36">
        <f t="shared" si="8"/>
        <v>0</v>
      </c>
      <c r="I103" s="11">
        <f t="shared" si="9"/>
        <v>-672000000</v>
      </c>
      <c r="J103" s="53">
        <f t="shared" si="10"/>
        <v>-672000000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662</v>
      </c>
      <c r="H104" s="36">
        <f t="shared" si="8"/>
        <v>1</v>
      </c>
      <c r="I104" s="11">
        <f t="shared" si="9"/>
        <v>1983000000</v>
      </c>
      <c r="J104" s="53">
        <f t="shared" si="10"/>
        <v>1983000000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661</v>
      </c>
      <c r="H105" s="36">
        <f t="shared" si="8"/>
        <v>1</v>
      </c>
      <c r="I105" s="11">
        <f t="shared" si="9"/>
        <v>739200000</v>
      </c>
      <c r="J105" s="53">
        <f t="shared" si="10"/>
        <v>739200000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661</v>
      </c>
      <c r="H106" s="36">
        <f t="shared" si="8"/>
        <v>0</v>
      </c>
      <c r="I106" s="11">
        <f t="shared" si="9"/>
        <v>-1983000000</v>
      </c>
      <c r="J106" s="53">
        <f t="shared" si="10"/>
        <v>0</v>
      </c>
      <c r="K106" s="53">
        <f t="shared" si="11"/>
        <v>-1983000000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652</v>
      </c>
      <c r="H107" s="36">
        <f t="shared" si="8"/>
        <v>1</v>
      </c>
      <c r="I107" s="11">
        <f t="shared" si="9"/>
        <v>58911594</v>
      </c>
      <c r="J107" s="53">
        <f t="shared" si="10"/>
        <v>48899865</v>
      </c>
      <c r="K107" s="53">
        <f t="shared" si="11"/>
        <v>10011729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650</v>
      </c>
      <c r="H108" s="36">
        <f t="shared" si="8"/>
        <v>0</v>
      </c>
      <c r="I108" s="11">
        <f t="shared" si="9"/>
        <v>-1105455000</v>
      </c>
      <c r="J108" s="53">
        <f t="shared" si="10"/>
        <v>0</v>
      </c>
      <c r="K108" s="53">
        <f t="shared" si="11"/>
        <v>-1105455000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646</v>
      </c>
      <c r="H109" s="36">
        <f t="shared" si="8"/>
        <v>0</v>
      </c>
      <c r="I109" s="11">
        <f t="shared" si="9"/>
        <v>-646323000</v>
      </c>
      <c r="J109" s="53">
        <f t="shared" si="10"/>
        <v>0</v>
      </c>
      <c r="K109" s="53">
        <f t="shared" si="11"/>
        <v>-646323000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643</v>
      </c>
      <c r="H110" s="36">
        <f t="shared" si="8"/>
        <v>1</v>
      </c>
      <c r="I110" s="11">
        <f t="shared" si="9"/>
        <v>12840000000</v>
      </c>
      <c r="J110" s="53">
        <f t="shared" si="10"/>
        <v>0</v>
      </c>
      <c r="K110" s="53">
        <f t="shared" si="11"/>
        <v>12840000000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623</v>
      </c>
      <c r="H111" s="36">
        <f t="shared" si="8"/>
        <v>1</v>
      </c>
      <c r="I111" s="11">
        <f t="shared" si="9"/>
        <v>108649716</v>
      </c>
      <c r="J111" s="53">
        <f t="shared" si="10"/>
        <v>54339786</v>
      </c>
      <c r="K111" s="53">
        <f t="shared" si="11"/>
        <v>54309930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607</v>
      </c>
      <c r="H112" s="36">
        <f t="shared" si="8"/>
        <v>0</v>
      </c>
      <c r="I112" s="11">
        <f t="shared" si="9"/>
        <v>-17238800000</v>
      </c>
      <c r="J112" s="53">
        <f t="shared" si="10"/>
        <v>0</v>
      </c>
      <c r="K112" s="53">
        <f t="shared" si="11"/>
        <v>-17238800000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592</v>
      </c>
      <c r="H113" s="36">
        <f t="shared" si="8"/>
        <v>1</v>
      </c>
      <c r="I113" s="11">
        <f t="shared" si="9"/>
        <v>96356640</v>
      </c>
      <c r="J113" s="53">
        <f t="shared" si="10"/>
        <v>72404001</v>
      </c>
      <c r="K113" s="53">
        <f t="shared" si="11"/>
        <v>23952639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592</v>
      </c>
      <c r="H114" s="36">
        <f t="shared" si="8"/>
        <v>0</v>
      </c>
      <c r="I114" s="11">
        <f t="shared" si="9"/>
        <v>-3374400</v>
      </c>
      <c r="J114" s="53">
        <f t="shared" si="10"/>
        <v>-1480000</v>
      </c>
      <c r="K114" s="53">
        <f t="shared" si="11"/>
        <v>-1894400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579</v>
      </c>
      <c r="H115" s="36">
        <f t="shared" si="8"/>
        <v>0</v>
      </c>
      <c r="I115" s="11">
        <f t="shared" si="9"/>
        <v>0</v>
      </c>
      <c r="J115" s="53">
        <f t="shared" si="10"/>
        <v>289500000</v>
      </c>
      <c r="K115" s="53">
        <f t="shared" si="11"/>
        <v>-289500000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571</v>
      </c>
      <c r="H116" s="36">
        <f t="shared" si="8"/>
        <v>0</v>
      </c>
      <c r="I116" s="11">
        <f t="shared" si="9"/>
        <v>-91360000</v>
      </c>
      <c r="J116" s="53">
        <f t="shared" si="10"/>
        <v>0</v>
      </c>
      <c r="K116" s="53">
        <f t="shared" si="11"/>
        <v>-91360000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562</v>
      </c>
      <c r="H117" s="36">
        <f t="shared" si="8"/>
        <v>1</v>
      </c>
      <c r="I117" s="11">
        <f t="shared" si="9"/>
        <v>830280</v>
      </c>
      <c r="J117" s="53">
        <f t="shared" si="10"/>
        <v>59993901</v>
      </c>
      <c r="K117" s="53">
        <f t="shared" si="11"/>
        <v>-59163621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540</v>
      </c>
      <c r="H118" s="36">
        <f t="shared" si="8"/>
        <v>1</v>
      </c>
      <c r="I118" s="11">
        <f t="shared" si="9"/>
        <v>21236330500</v>
      </c>
      <c r="J118" s="53">
        <f t="shared" si="10"/>
        <v>0</v>
      </c>
      <c r="K118" s="53">
        <f t="shared" si="11"/>
        <v>21236330500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531</v>
      </c>
      <c r="H119" s="36">
        <f t="shared" si="8"/>
        <v>1</v>
      </c>
      <c r="I119" s="11">
        <f t="shared" si="9"/>
        <v>50626130</v>
      </c>
      <c r="J119" s="53">
        <f t="shared" si="10"/>
        <v>58328620</v>
      </c>
      <c r="K119" s="53">
        <f t="shared" si="11"/>
        <v>-7702490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527</v>
      </c>
      <c r="H120" s="11">
        <f t="shared" si="8"/>
        <v>1</v>
      </c>
      <c r="I120" s="11">
        <f t="shared" ref="I120:I266" si="13">B120*(G120-H120)</f>
        <v>1052000000</v>
      </c>
      <c r="J120" s="11">
        <f t="shared" si="10"/>
        <v>0</v>
      </c>
      <c r="K120" s="11">
        <f t="shared" si="11"/>
        <v>1052000000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501</v>
      </c>
      <c r="H121" s="11">
        <f t="shared" si="8"/>
        <v>1</v>
      </c>
      <c r="I121" s="11">
        <f t="shared" si="13"/>
        <v>1300000000</v>
      </c>
      <c r="J121" s="11">
        <f t="shared" si="10"/>
        <v>0</v>
      </c>
      <c r="K121" s="11">
        <f t="shared" si="11"/>
        <v>1300000000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500</v>
      </c>
      <c r="H122" s="11">
        <f t="shared" si="8"/>
        <v>1</v>
      </c>
      <c r="I122" s="11">
        <f t="shared" si="13"/>
        <v>191890949</v>
      </c>
      <c r="J122" s="11">
        <f t="shared" si="10"/>
        <v>55343092</v>
      </c>
      <c r="K122" s="11">
        <f t="shared" si="11"/>
        <v>136547857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499</v>
      </c>
      <c r="H123" s="11">
        <f t="shared" si="8"/>
        <v>0</v>
      </c>
      <c r="I123" s="11">
        <f t="shared" si="13"/>
        <v>0</v>
      </c>
      <c r="J123" s="11">
        <f t="shared" si="10"/>
        <v>399200000</v>
      </c>
      <c r="K123" s="11">
        <f t="shared" si="11"/>
        <v>-399200000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485</v>
      </c>
      <c r="H124" s="11">
        <f t="shared" si="8"/>
        <v>0</v>
      </c>
      <c r="I124" s="11">
        <f t="shared" si="13"/>
        <v>-1455000000</v>
      </c>
      <c r="J124" s="11">
        <f t="shared" si="10"/>
        <v>0</v>
      </c>
      <c r="K124" s="11">
        <f t="shared" si="11"/>
        <v>-1455000000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470</v>
      </c>
      <c r="H125" s="11">
        <f t="shared" si="8"/>
        <v>1</v>
      </c>
      <c r="I125" s="11">
        <f t="shared" si="13"/>
        <v>187932990</v>
      </c>
      <c r="J125" s="11">
        <f t="shared" si="10"/>
        <v>55752375</v>
      </c>
      <c r="K125" s="11">
        <f t="shared" si="11"/>
        <v>132180615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470</v>
      </c>
      <c r="H126" s="11">
        <f t="shared" si="8"/>
        <v>1</v>
      </c>
      <c r="I126" s="11">
        <f t="shared" si="13"/>
        <v>19698000000</v>
      </c>
      <c r="J126" s="11">
        <f t="shared" si="10"/>
        <v>0</v>
      </c>
      <c r="K126" s="11">
        <f t="shared" si="11"/>
        <v>19698000000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445</v>
      </c>
      <c r="H127" s="11">
        <f t="shared" si="8"/>
        <v>0</v>
      </c>
      <c r="I127" s="11">
        <f t="shared" si="13"/>
        <v>-2225000</v>
      </c>
      <c r="J127" s="11">
        <f t="shared" si="10"/>
        <v>0</v>
      </c>
      <c r="K127" s="11">
        <f t="shared" si="11"/>
        <v>-2225000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439</v>
      </c>
      <c r="H128" s="11">
        <f t="shared" si="8"/>
        <v>1</v>
      </c>
      <c r="I128" s="11">
        <f t="shared" si="13"/>
        <v>337861812</v>
      </c>
      <c r="J128" s="11">
        <f t="shared" si="10"/>
        <v>52865286</v>
      </c>
      <c r="K128" s="11">
        <f t="shared" si="11"/>
        <v>284996526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436</v>
      </c>
      <c r="H129" s="11">
        <f t="shared" si="8"/>
        <v>1</v>
      </c>
      <c r="I129" s="11">
        <f t="shared" si="13"/>
        <v>1087500000</v>
      </c>
      <c r="J129" s="11">
        <f t="shared" si="10"/>
        <v>0</v>
      </c>
      <c r="K129" s="11">
        <f t="shared" si="11"/>
        <v>1087500000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422</v>
      </c>
      <c r="H130" s="11">
        <f t="shared" si="8"/>
        <v>0</v>
      </c>
      <c r="I130" s="11">
        <f t="shared" si="13"/>
        <v>-422000000</v>
      </c>
      <c r="J130" s="11">
        <f t="shared" si="10"/>
        <v>-422000000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417</v>
      </c>
      <c r="H131" s="11">
        <f t="shared" si="8"/>
        <v>0</v>
      </c>
      <c r="I131" s="11">
        <f t="shared" si="13"/>
        <v>-20850000000</v>
      </c>
      <c r="J131" s="11">
        <f t="shared" si="10"/>
        <v>0</v>
      </c>
      <c r="K131" s="11">
        <f t="shared" si="11"/>
        <v>-20850000000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409</v>
      </c>
      <c r="H132" s="11">
        <f t="shared" ref="H132:H266" si="15">IF(B132&gt;0,1,0)</f>
        <v>1</v>
      </c>
      <c r="I132" s="11">
        <f t="shared" si="13"/>
        <v>250629096</v>
      </c>
      <c r="J132" s="11">
        <f t="shared" ref="J132:J206" si="16">C132*(G132-H132)</f>
        <v>43236168</v>
      </c>
      <c r="K132" s="11">
        <f t="shared" ref="K132:K266" si="17">D132*(G132-H132)</f>
        <v>207392928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405</v>
      </c>
      <c r="H133" s="11">
        <f t="shared" si="15"/>
        <v>0</v>
      </c>
      <c r="I133" s="11">
        <f t="shared" si="13"/>
        <v>-490333500</v>
      </c>
      <c r="J133" s="11">
        <f t="shared" si="16"/>
        <v>0</v>
      </c>
      <c r="K133" s="11">
        <f t="shared" si="17"/>
        <v>-490333500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396</v>
      </c>
      <c r="H134" s="11">
        <f t="shared" si="15"/>
        <v>0</v>
      </c>
      <c r="I134" s="11">
        <f t="shared" si="13"/>
        <v>-25740000</v>
      </c>
      <c r="J134" s="11">
        <f t="shared" si="16"/>
        <v>0</v>
      </c>
      <c r="K134" s="11">
        <f t="shared" si="17"/>
        <v>-25740000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396</v>
      </c>
      <c r="H135" s="11">
        <f t="shared" si="15"/>
        <v>0</v>
      </c>
      <c r="I135" s="11">
        <f t="shared" si="13"/>
        <v>-12790800</v>
      </c>
      <c r="J135" s="11">
        <f t="shared" si="16"/>
        <v>0</v>
      </c>
      <c r="K135" s="11">
        <f t="shared" si="17"/>
        <v>-12790800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388</v>
      </c>
      <c r="H136" s="11">
        <f t="shared" si="15"/>
        <v>0</v>
      </c>
      <c r="I136" s="11">
        <f t="shared" si="13"/>
        <v>-388000000</v>
      </c>
      <c r="J136" s="11">
        <f t="shared" si="16"/>
        <v>-388000000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379</v>
      </c>
      <c r="H137" s="11">
        <f t="shared" si="15"/>
        <v>1</v>
      </c>
      <c r="I137" s="11">
        <f t="shared" si="13"/>
        <v>109949994</v>
      </c>
      <c r="J137" s="11">
        <f t="shared" si="16"/>
        <v>36801702</v>
      </c>
      <c r="K137" s="11">
        <f t="shared" si="17"/>
        <v>73148292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362</v>
      </c>
      <c r="H138" s="11">
        <f t="shared" si="15"/>
        <v>0</v>
      </c>
      <c r="I138" s="11">
        <f t="shared" si="13"/>
        <v>-362181000</v>
      </c>
      <c r="J138" s="11">
        <f t="shared" si="16"/>
        <v>-362181000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350</v>
      </c>
      <c r="H139" s="11">
        <f t="shared" si="15"/>
        <v>1</v>
      </c>
      <c r="I139" s="11">
        <f t="shared" si="13"/>
        <v>98501760</v>
      </c>
      <c r="J139" s="11">
        <f t="shared" si="16"/>
        <v>30993643</v>
      </c>
      <c r="K139" s="11">
        <f t="shared" si="17"/>
        <v>67508117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347</v>
      </c>
      <c r="H140" s="11">
        <f t="shared" si="15"/>
        <v>1</v>
      </c>
      <c r="I140" s="11">
        <f t="shared" si="13"/>
        <v>519000000</v>
      </c>
      <c r="J140" s="11">
        <f t="shared" si="16"/>
        <v>0</v>
      </c>
      <c r="K140" s="11">
        <f t="shared" si="17"/>
        <v>519000000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334</v>
      </c>
      <c r="H141" s="11">
        <f t="shared" si="15"/>
        <v>0</v>
      </c>
      <c r="I141" s="11">
        <f t="shared" si="13"/>
        <v>0</v>
      </c>
      <c r="J141" s="11">
        <f t="shared" si="16"/>
        <v>-334000000</v>
      </c>
      <c r="K141" s="11">
        <f t="shared" si="17"/>
        <v>334000000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320</v>
      </c>
      <c r="H142" s="11">
        <f t="shared" si="15"/>
        <v>1</v>
      </c>
      <c r="I142" s="11">
        <f t="shared" si="13"/>
        <v>92794867</v>
      </c>
      <c r="J142" s="11">
        <f t="shared" si="16"/>
        <v>25846018</v>
      </c>
      <c r="K142" s="11">
        <f t="shared" si="17"/>
        <v>66948849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300</v>
      </c>
      <c r="H143" s="11">
        <f t="shared" si="15"/>
        <v>0</v>
      </c>
      <c r="I143" s="11">
        <f t="shared" si="13"/>
        <v>0</v>
      </c>
      <c r="J143" s="11">
        <f t="shared" si="16"/>
        <v>-300000000</v>
      </c>
      <c r="K143" s="11">
        <f t="shared" si="17"/>
        <v>300000000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290</v>
      </c>
      <c r="H144" s="11">
        <f t="shared" si="15"/>
        <v>1</v>
      </c>
      <c r="I144" s="11">
        <f t="shared" si="13"/>
        <v>85212228</v>
      </c>
      <c r="J144" s="11">
        <f t="shared" si="16"/>
        <v>21575873</v>
      </c>
      <c r="K144" s="11">
        <f t="shared" si="17"/>
        <v>63636355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275</v>
      </c>
      <c r="H145" s="11">
        <f t="shared" si="15"/>
        <v>0</v>
      </c>
      <c r="I145" s="11">
        <f t="shared" si="13"/>
        <v>-2750000</v>
      </c>
      <c r="J145" s="11">
        <f t="shared" si="16"/>
        <v>-1375000</v>
      </c>
      <c r="K145" s="11">
        <f t="shared" si="17"/>
        <v>-1375000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270</v>
      </c>
      <c r="H146" s="11">
        <f t="shared" si="15"/>
        <v>0</v>
      </c>
      <c r="I146" s="11">
        <f t="shared" si="13"/>
        <v>-270135000</v>
      </c>
      <c r="J146" s="11">
        <f t="shared" si="16"/>
        <v>-270135000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264</v>
      </c>
      <c r="H147" s="11">
        <f t="shared" si="15"/>
        <v>0</v>
      </c>
      <c r="I147" s="11">
        <f t="shared" si="13"/>
        <v>-7128000000</v>
      </c>
      <c r="J147" s="11">
        <f t="shared" si="16"/>
        <v>0</v>
      </c>
      <c r="K147" s="11">
        <f t="shared" si="17"/>
        <v>-7128000000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261</v>
      </c>
      <c r="H148" s="11">
        <f t="shared" si="15"/>
        <v>1</v>
      </c>
      <c r="I148" s="11">
        <f t="shared" si="13"/>
        <v>65633360</v>
      </c>
      <c r="J148" s="11">
        <f t="shared" si="16"/>
        <v>17032600</v>
      </c>
      <c r="K148" s="11">
        <f t="shared" si="17"/>
        <v>48600760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1074</v>
      </c>
      <c r="F149" s="11">
        <v>7</v>
      </c>
      <c r="G149" s="36">
        <f t="shared" si="14"/>
        <v>253</v>
      </c>
      <c r="H149" s="11">
        <f t="shared" si="15"/>
        <v>1</v>
      </c>
      <c r="I149" s="11">
        <f t="shared" si="13"/>
        <v>13204800000</v>
      </c>
      <c r="J149" s="11">
        <f t="shared" si="16"/>
        <v>0</v>
      </c>
      <c r="K149" s="11">
        <f t="shared" si="17"/>
        <v>13204800000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246</v>
      </c>
      <c r="H150" s="11">
        <f t="shared" si="15"/>
        <v>0</v>
      </c>
      <c r="I150" s="11">
        <f t="shared" si="13"/>
        <v>-12792000000</v>
      </c>
      <c r="J150" s="11">
        <f t="shared" si="16"/>
        <v>0</v>
      </c>
      <c r="K150" s="11">
        <f t="shared" si="17"/>
        <v>-12792000000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241</v>
      </c>
      <c r="H151" s="99">
        <f t="shared" si="15"/>
        <v>0</v>
      </c>
      <c r="I151" s="99">
        <f t="shared" si="13"/>
        <v>-1928000000</v>
      </c>
      <c r="J151" s="99">
        <f t="shared" si="16"/>
        <v>-1632083571</v>
      </c>
      <c r="K151" s="11">
        <f t="shared" si="17"/>
        <v>-295916429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241</v>
      </c>
      <c r="H152" s="99">
        <f t="shared" si="15"/>
        <v>0</v>
      </c>
      <c r="I152" s="99">
        <f t="shared" si="13"/>
        <v>-7526430</v>
      </c>
      <c r="J152" s="99">
        <f t="shared" si="16"/>
        <v>0</v>
      </c>
      <c r="K152" s="99">
        <f t="shared" si="17"/>
        <v>-7526430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230</v>
      </c>
      <c r="H153" s="99">
        <f t="shared" si="15"/>
        <v>1</v>
      </c>
      <c r="I153" s="99">
        <f t="shared" si="13"/>
        <v>30934923</v>
      </c>
      <c r="J153" s="99">
        <f t="shared" si="16"/>
        <v>9418770</v>
      </c>
      <c r="K153" s="99">
        <f t="shared" si="17"/>
        <v>21516153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227</v>
      </c>
      <c r="H154" s="99">
        <f t="shared" si="15"/>
        <v>1</v>
      </c>
      <c r="I154" s="99">
        <f t="shared" si="13"/>
        <v>1542242532</v>
      </c>
      <c r="J154" s="99">
        <f t="shared" si="16"/>
        <v>1542242532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222</v>
      </c>
      <c r="H155" s="99">
        <f t="shared" si="15"/>
        <v>0</v>
      </c>
      <c r="I155" s="99">
        <f t="shared" si="13"/>
        <v>-44400000</v>
      </c>
      <c r="J155" s="99">
        <f t="shared" si="16"/>
        <v>0</v>
      </c>
      <c r="K155" s="99">
        <f t="shared" si="17"/>
        <v>-44400000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222</v>
      </c>
      <c r="H156" s="99">
        <f t="shared" si="15"/>
        <v>0</v>
      </c>
      <c r="I156" s="99">
        <f t="shared" si="13"/>
        <v>-55020480</v>
      </c>
      <c r="J156" s="99">
        <f t="shared" si="16"/>
        <v>0</v>
      </c>
      <c r="K156" s="99">
        <f t="shared" si="17"/>
        <v>-55020480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221</v>
      </c>
      <c r="H157" s="99">
        <f t="shared" si="15"/>
        <v>0</v>
      </c>
      <c r="I157" s="99">
        <f t="shared" si="13"/>
        <v>-35877140</v>
      </c>
      <c r="J157" s="99">
        <f t="shared" si="16"/>
        <v>0</v>
      </c>
      <c r="K157" s="99">
        <f t="shared" si="17"/>
        <v>-35877140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221</v>
      </c>
      <c r="H158" s="99">
        <f t="shared" si="15"/>
        <v>0</v>
      </c>
      <c r="I158" s="99">
        <f t="shared" si="13"/>
        <v>-663198900</v>
      </c>
      <c r="J158" s="99">
        <f t="shared" si="16"/>
        <v>0</v>
      </c>
      <c r="K158" s="99">
        <f t="shared" si="17"/>
        <v>-663198900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219</v>
      </c>
      <c r="H159" s="99">
        <f t="shared" si="15"/>
        <v>0</v>
      </c>
      <c r="I159" s="99">
        <f t="shared" si="13"/>
        <v>-219109500</v>
      </c>
      <c r="J159" s="99">
        <f t="shared" si="16"/>
        <v>0</v>
      </c>
      <c r="K159" s="99">
        <f t="shared" si="17"/>
        <v>-219109500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215</v>
      </c>
      <c r="H160" s="99">
        <f t="shared" si="15"/>
        <v>0</v>
      </c>
      <c r="I160" s="99">
        <f t="shared" si="13"/>
        <v>-21500000</v>
      </c>
      <c r="J160" s="99">
        <f t="shared" si="16"/>
        <v>0</v>
      </c>
      <c r="K160" s="99">
        <f t="shared" si="17"/>
        <v>-21500000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214</v>
      </c>
      <c r="H161" s="99">
        <f t="shared" si="15"/>
        <v>0</v>
      </c>
      <c r="I161" s="99">
        <f t="shared" si="13"/>
        <v>-428000000</v>
      </c>
      <c r="J161" s="99">
        <f t="shared" si="16"/>
        <v>0</v>
      </c>
      <c r="K161" s="99">
        <f t="shared" si="17"/>
        <v>-428000000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214</v>
      </c>
      <c r="H162" s="99">
        <f t="shared" si="15"/>
        <v>0</v>
      </c>
      <c r="I162" s="99">
        <f t="shared" si="13"/>
        <v>-214107000</v>
      </c>
      <c r="J162" s="99">
        <f t="shared" si="16"/>
        <v>0</v>
      </c>
      <c r="K162" s="99">
        <f t="shared" si="17"/>
        <v>-214107000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211</v>
      </c>
      <c r="H163" s="99">
        <f t="shared" si="15"/>
        <v>0</v>
      </c>
      <c r="I163" s="99">
        <f t="shared" si="13"/>
        <v>-1055000</v>
      </c>
      <c r="J163" s="99">
        <f t="shared" si="16"/>
        <v>0</v>
      </c>
      <c r="K163" s="99">
        <f t="shared" si="17"/>
        <v>-1055000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201</v>
      </c>
      <c r="H164" s="99">
        <f t="shared" si="15"/>
        <v>1</v>
      </c>
      <c r="I164" s="99">
        <f t="shared" si="13"/>
        <v>600000000</v>
      </c>
      <c r="J164" s="99">
        <f t="shared" si="16"/>
        <v>0</v>
      </c>
      <c r="K164" s="99">
        <f t="shared" si="17"/>
        <v>600000000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200</v>
      </c>
      <c r="H165" s="99">
        <f t="shared" si="15"/>
        <v>1</v>
      </c>
      <c r="I165" s="99">
        <f t="shared" si="13"/>
        <v>597000000</v>
      </c>
      <c r="J165" s="99">
        <f t="shared" si="16"/>
        <v>0</v>
      </c>
      <c r="K165" s="99">
        <f t="shared" si="17"/>
        <v>597000000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199</v>
      </c>
      <c r="H166" s="99">
        <f t="shared" si="15"/>
        <v>1</v>
      </c>
      <c r="I166" s="99">
        <f t="shared" si="13"/>
        <v>4022172</v>
      </c>
      <c r="J166" s="99">
        <f t="shared" si="16"/>
        <v>11848716</v>
      </c>
      <c r="K166" s="99">
        <f t="shared" si="17"/>
        <v>-7826544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194</v>
      </c>
      <c r="H167" s="99">
        <f t="shared" si="15"/>
        <v>0</v>
      </c>
      <c r="I167" s="99">
        <f t="shared" si="13"/>
        <v>-582174600</v>
      </c>
      <c r="J167" s="99">
        <f t="shared" si="16"/>
        <v>0</v>
      </c>
      <c r="K167" s="99">
        <f t="shared" si="17"/>
        <v>-582174600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176</v>
      </c>
      <c r="H168" s="99">
        <f t="shared" si="15"/>
        <v>0</v>
      </c>
      <c r="I168" s="99">
        <f t="shared" si="13"/>
        <v>-528158400</v>
      </c>
      <c r="J168" s="99">
        <f t="shared" si="16"/>
        <v>0</v>
      </c>
      <c r="K168" s="99">
        <f t="shared" si="17"/>
        <v>-528158400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168</v>
      </c>
      <c r="H169" s="99">
        <f t="shared" si="15"/>
        <v>1</v>
      </c>
      <c r="I169" s="99">
        <f t="shared" si="13"/>
        <v>3624735</v>
      </c>
      <c r="J169" s="99">
        <f t="shared" si="16"/>
        <v>11442005</v>
      </c>
      <c r="K169" s="99">
        <f t="shared" si="17"/>
        <v>-7817270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144</v>
      </c>
      <c r="H170" s="99">
        <f t="shared" si="15"/>
        <v>1</v>
      </c>
      <c r="I170" s="99">
        <f t="shared" si="13"/>
        <v>715000000</v>
      </c>
      <c r="J170" s="99">
        <f t="shared" si="16"/>
        <v>0</v>
      </c>
      <c r="K170" s="99">
        <f t="shared" si="17"/>
        <v>715000000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143</v>
      </c>
      <c r="H171" s="99">
        <f t="shared" si="15"/>
        <v>0</v>
      </c>
      <c r="I171" s="99">
        <f t="shared" si="13"/>
        <v>-715000000</v>
      </c>
      <c r="J171" s="99">
        <f t="shared" si="16"/>
        <v>0</v>
      </c>
      <c r="K171" s="99">
        <f t="shared" si="17"/>
        <v>-715000000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137</v>
      </c>
      <c r="H172" s="99">
        <f t="shared" si="15"/>
        <v>1</v>
      </c>
      <c r="I172" s="99">
        <f t="shared" si="13"/>
        <v>67456</v>
      </c>
      <c r="J172" s="99">
        <f t="shared" si="16"/>
        <v>8524616</v>
      </c>
      <c r="K172" s="99">
        <f t="shared" si="17"/>
        <v>-8457160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136</v>
      </c>
      <c r="H173" s="99">
        <f t="shared" si="15"/>
        <v>1</v>
      </c>
      <c r="I173" s="99">
        <f t="shared" si="13"/>
        <v>105975000</v>
      </c>
      <c r="J173" s="99">
        <f t="shared" si="16"/>
        <v>0</v>
      </c>
      <c r="K173" s="99">
        <f t="shared" si="17"/>
        <v>105975000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125</v>
      </c>
      <c r="H174" s="99">
        <f t="shared" si="15"/>
        <v>0</v>
      </c>
      <c r="I174" s="99">
        <f t="shared" si="13"/>
        <v>-4000000</v>
      </c>
      <c r="J174" s="99">
        <f t="shared" si="16"/>
        <v>0</v>
      </c>
      <c r="K174" s="99">
        <f t="shared" si="17"/>
        <v>-4000000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123</v>
      </c>
      <c r="H175" s="99">
        <f t="shared" si="15"/>
        <v>0</v>
      </c>
      <c r="I175" s="99">
        <f t="shared" si="13"/>
        <v>-92250000</v>
      </c>
      <c r="J175" s="99">
        <f t="shared" si="16"/>
        <v>0</v>
      </c>
      <c r="K175" s="99">
        <f t="shared" si="17"/>
        <v>-92250000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114</v>
      </c>
      <c r="H176" s="99">
        <f t="shared" si="15"/>
        <v>0</v>
      </c>
      <c r="I176" s="99">
        <f t="shared" si="13"/>
        <v>-1071144</v>
      </c>
      <c r="J176" s="99">
        <f t="shared" si="16"/>
        <v>0</v>
      </c>
      <c r="K176" s="99">
        <f t="shared" si="17"/>
        <v>-1071144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113</v>
      </c>
      <c r="H177" s="99">
        <f t="shared" si="15"/>
        <v>0</v>
      </c>
      <c r="I177" s="99">
        <f t="shared" si="13"/>
        <v>-4892900</v>
      </c>
      <c r="J177" s="99">
        <f t="shared" si="16"/>
        <v>0</v>
      </c>
      <c r="K177" s="99">
        <f t="shared" si="17"/>
        <v>-4892900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110</v>
      </c>
      <c r="H178" s="99">
        <f t="shared" si="15"/>
        <v>1</v>
      </c>
      <c r="I178" s="99">
        <f t="shared" si="13"/>
        <v>39240000</v>
      </c>
      <c r="J178" s="99">
        <f t="shared" si="16"/>
        <v>0</v>
      </c>
      <c r="K178" s="99">
        <f t="shared" si="17"/>
        <v>39240000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108</v>
      </c>
      <c r="H179" s="99">
        <f t="shared" si="15"/>
        <v>1</v>
      </c>
      <c r="I179" s="99">
        <f t="shared" si="13"/>
        <v>321000000</v>
      </c>
      <c r="J179" s="99">
        <f t="shared" si="16"/>
        <v>0</v>
      </c>
      <c r="K179" s="99">
        <f t="shared" si="17"/>
        <v>321000000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108</v>
      </c>
      <c r="H180" s="99">
        <f t="shared" si="15"/>
        <v>0</v>
      </c>
      <c r="I180" s="99">
        <f t="shared" si="13"/>
        <v>-1301400</v>
      </c>
      <c r="J180" s="99">
        <f t="shared" si="16"/>
        <v>0</v>
      </c>
      <c r="K180" s="99">
        <f t="shared" si="17"/>
        <v>-1301400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106</v>
      </c>
      <c r="H181" s="99">
        <f t="shared" si="15"/>
        <v>1</v>
      </c>
      <c r="I181" s="99">
        <f t="shared" si="13"/>
        <v>315000000</v>
      </c>
      <c r="J181" s="99">
        <f t="shared" si="16"/>
        <v>0</v>
      </c>
      <c r="K181" s="99">
        <f t="shared" si="17"/>
        <v>315000000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104</v>
      </c>
      <c r="H182" s="99">
        <f t="shared" si="15"/>
        <v>0</v>
      </c>
      <c r="I182" s="99">
        <f t="shared" si="13"/>
        <v>-3723200</v>
      </c>
      <c r="J182" s="99">
        <f t="shared" si="16"/>
        <v>0</v>
      </c>
      <c r="K182" s="99">
        <f t="shared" si="17"/>
        <v>-3723200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103</v>
      </c>
      <c r="H183" s="99">
        <f t="shared" si="15"/>
        <v>1</v>
      </c>
      <c r="I183" s="99">
        <f t="shared" si="13"/>
        <v>367200000</v>
      </c>
      <c r="J183" s="99">
        <f t="shared" si="16"/>
        <v>0</v>
      </c>
      <c r="K183" s="99">
        <f t="shared" si="17"/>
        <v>367200000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103</v>
      </c>
      <c r="H184" s="99">
        <f t="shared" si="15"/>
        <v>0</v>
      </c>
      <c r="I184" s="99">
        <f t="shared" si="13"/>
        <v>-3437831</v>
      </c>
      <c r="J184" s="99">
        <f t="shared" si="16"/>
        <v>0</v>
      </c>
      <c r="K184" s="99">
        <f t="shared" si="17"/>
        <v>-3437831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100</v>
      </c>
      <c r="H185" s="99">
        <f t="shared" si="15"/>
        <v>0</v>
      </c>
      <c r="I185" s="99">
        <f t="shared" si="13"/>
        <v>-980000000</v>
      </c>
      <c r="J185" s="99">
        <f t="shared" si="16"/>
        <v>0</v>
      </c>
      <c r="K185" s="99">
        <f t="shared" si="17"/>
        <v>-980000000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100</v>
      </c>
      <c r="H186" s="99">
        <f t="shared" si="15"/>
        <v>1</v>
      </c>
      <c r="I186" s="99">
        <f t="shared" si="13"/>
        <v>1782000000</v>
      </c>
      <c r="J186" s="99">
        <f t="shared" si="16"/>
        <v>0</v>
      </c>
      <c r="K186" s="99">
        <f t="shared" si="17"/>
        <v>1782000000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100</v>
      </c>
      <c r="H187" s="99">
        <f t="shared" si="15"/>
        <v>0</v>
      </c>
      <c r="I187" s="99">
        <f t="shared" si="13"/>
        <v>-900000000</v>
      </c>
      <c r="J187" s="99">
        <f t="shared" si="16"/>
        <v>0</v>
      </c>
      <c r="K187" s="99">
        <f t="shared" si="17"/>
        <v>-900000000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100</v>
      </c>
      <c r="H188" s="99">
        <f t="shared" si="15"/>
        <v>0</v>
      </c>
      <c r="I188" s="99">
        <f t="shared" si="13"/>
        <v>-1160000</v>
      </c>
      <c r="J188" s="99">
        <f t="shared" si="16"/>
        <v>0</v>
      </c>
      <c r="K188" s="99">
        <f t="shared" si="17"/>
        <v>-1160000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100</v>
      </c>
      <c r="H189" s="99">
        <f t="shared" si="15"/>
        <v>0</v>
      </c>
      <c r="I189" s="99">
        <f t="shared" si="13"/>
        <v>-330432700</v>
      </c>
      <c r="J189" s="99">
        <f t="shared" si="16"/>
        <v>0</v>
      </c>
      <c r="K189" s="99">
        <f t="shared" si="17"/>
        <v>-330432700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99</v>
      </c>
      <c r="H190" s="99">
        <f t="shared" si="15"/>
        <v>0</v>
      </c>
      <c r="I190" s="99">
        <f t="shared" si="13"/>
        <v>-297089100</v>
      </c>
      <c r="J190" s="99">
        <f t="shared" si="16"/>
        <v>0</v>
      </c>
      <c r="K190" s="99">
        <f t="shared" si="17"/>
        <v>-297089100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98</v>
      </c>
      <c r="H191" s="99">
        <f t="shared" si="15"/>
        <v>0</v>
      </c>
      <c r="I191" s="99">
        <f t="shared" si="13"/>
        <v>-270568200</v>
      </c>
      <c r="J191" s="99">
        <f t="shared" si="16"/>
        <v>0</v>
      </c>
      <c r="K191" s="99">
        <f t="shared" si="17"/>
        <v>-270568200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93</v>
      </c>
      <c r="H192" s="99">
        <f t="shared" si="15"/>
        <v>1</v>
      </c>
      <c r="I192" s="99">
        <f t="shared" si="13"/>
        <v>92000000</v>
      </c>
      <c r="J192" s="99">
        <f t="shared" si="16"/>
        <v>0</v>
      </c>
      <c r="K192" s="99">
        <f t="shared" si="17"/>
        <v>92000000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92</v>
      </c>
      <c r="H193" s="99">
        <f t="shared" si="15"/>
        <v>0</v>
      </c>
      <c r="I193" s="99">
        <f t="shared" si="13"/>
        <v>-1380000</v>
      </c>
      <c r="J193" s="99">
        <f t="shared" si="16"/>
        <v>0</v>
      </c>
      <c r="K193" s="99">
        <f t="shared" si="17"/>
        <v>-1380000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90</v>
      </c>
      <c r="H194" s="99">
        <f t="shared" si="15"/>
        <v>0</v>
      </c>
      <c r="I194" s="99">
        <f t="shared" si="13"/>
        <v>-89100000</v>
      </c>
      <c r="J194" s="99">
        <f t="shared" si="16"/>
        <v>0</v>
      </c>
      <c r="K194" s="99">
        <f t="shared" si="17"/>
        <v>-89100000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90</v>
      </c>
      <c r="H195" s="99">
        <f t="shared" si="15"/>
        <v>1</v>
      </c>
      <c r="I195" s="99">
        <f t="shared" si="13"/>
        <v>69687000</v>
      </c>
      <c r="J195" s="99">
        <f t="shared" si="16"/>
        <v>0</v>
      </c>
      <c r="K195" s="99">
        <f t="shared" si="17"/>
        <v>69687000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88</v>
      </c>
      <c r="H196" s="99">
        <f t="shared" si="15"/>
        <v>0</v>
      </c>
      <c r="I196" s="99">
        <f t="shared" si="13"/>
        <v>-66044000</v>
      </c>
      <c r="J196" s="99">
        <f t="shared" si="16"/>
        <v>0</v>
      </c>
      <c r="K196" s="99">
        <f t="shared" si="17"/>
        <v>-66044000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86</v>
      </c>
      <c r="H197" s="99">
        <f t="shared" si="15"/>
        <v>1</v>
      </c>
      <c r="I197" s="99">
        <f t="shared" si="13"/>
        <v>59500000</v>
      </c>
      <c r="J197" s="99">
        <f t="shared" si="16"/>
        <v>0</v>
      </c>
      <c r="K197" s="99">
        <f t="shared" si="17"/>
        <v>59500000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86</v>
      </c>
      <c r="H198" s="99">
        <f t="shared" si="15"/>
        <v>0</v>
      </c>
      <c r="I198" s="99">
        <f t="shared" si="13"/>
        <v>-8514000</v>
      </c>
      <c r="J198" s="99">
        <f t="shared" si="16"/>
        <v>0</v>
      </c>
      <c r="K198" s="99">
        <f t="shared" si="17"/>
        <v>-8514000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85</v>
      </c>
      <c r="H199" s="99">
        <f t="shared" si="15"/>
        <v>0</v>
      </c>
      <c r="I199" s="99">
        <f t="shared" si="13"/>
        <v>-17488750</v>
      </c>
      <c r="J199" s="99">
        <f t="shared" si="16"/>
        <v>0</v>
      </c>
      <c r="K199" s="99">
        <f t="shared" si="17"/>
        <v>-17488750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85</v>
      </c>
      <c r="H200" s="99">
        <f t="shared" si="15"/>
        <v>0</v>
      </c>
      <c r="I200" s="99">
        <f t="shared" si="13"/>
        <v>-8075000</v>
      </c>
      <c r="J200" s="99">
        <f t="shared" si="16"/>
        <v>0</v>
      </c>
      <c r="K200" s="99">
        <f t="shared" si="17"/>
        <v>-8075000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82</v>
      </c>
      <c r="H201" s="99">
        <f t="shared" si="15"/>
        <v>1</v>
      </c>
      <c r="I201" s="99">
        <f t="shared" si="13"/>
        <v>3940650000</v>
      </c>
      <c r="J201" s="99">
        <f t="shared" si="16"/>
        <v>0</v>
      </c>
      <c r="K201" s="99">
        <f t="shared" si="17"/>
        <v>3940650000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82</v>
      </c>
      <c r="H202" s="99">
        <f t="shared" si="15"/>
        <v>0</v>
      </c>
      <c r="I202" s="99">
        <f t="shared" si="13"/>
        <v>-246073800</v>
      </c>
      <c r="J202" s="99">
        <f t="shared" si="16"/>
        <v>0</v>
      </c>
      <c r="K202" s="99">
        <f t="shared" si="17"/>
        <v>-246073800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82</v>
      </c>
      <c r="H203" s="99">
        <f t="shared" si="15"/>
        <v>0</v>
      </c>
      <c r="I203" s="99">
        <f t="shared" si="13"/>
        <v>-410000</v>
      </c>
      <c r="J203" s="99">
        <f t="shared" si="16"/>
        <v>0</v>
      </c>
      <c r="K203" s="99">
        <f t="shared" si="17"/>
        <v>-410000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82</v>
      </c>
      <c r="H204" s="99">
        <f t="shared" si="15"/>
        <v>0</v>
      </c>
      <c r="I204" s="99">
        <f t="shared" si="13"/>
        <v>-2747000000</v>
      </c>
      <c r="J204" s="99">
        <f t="shared" si="16"/>
        <v>0</v>
      </c>
      <c r="K204" s="99">
        <f t="shared" si="17"/>
        <v>-2747000000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6" si="19">G206+F205</f>
        <v>81</v>
      </c>
      <c r="H205" s="99">
        <f t="shared" si="15"/>
        <v>0</v>
      </c>
      <c r="I205" s="99">
        <f t="shared" si="13"/>
        <v>-1007235000</v>
      </c>
      <c r="J205" s="99">
        <f t="shared" si="16"/>
        <v>0</v>
      </c>
      <c r="K205" s="99">
        <f t="shared" si="17"/>
        <v>-1007235000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78</v>
      </c>
      <c r="H206" s="99">
        <f t="shared" si="15"/>
        <v>0</v>
      </c>
      <c r="I206" s="99">
        <f t="shared" si="13"/>
        <v>-1443000</v>
      </c>
      <c r="J206" s="99">
        <f t="shared" si="16"/>
        <v>0</v>
      </c>
      <c r="K206" s="99">
        <f t="shared" si="17"/>
        <v>-1443000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76</v>
      </c>
      <c r="H207" s="99">
        <f t="shared" si="15"/>
        <v>1</v>
      </c>
      <c r="I207" s="99">
        <f t="shared" si="13"/>
        <v>1086000</v>
      </c>
      <c r="J207" s="99">
        <f t="shared" ref="J207:J266" si="20">C207*(G207-H207)</f>
        <v>5315550</v>
      </c>
      <c r="K207" s="99">
        <f t="shared" si="17"/>
        <v>-4229550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75</v>
      </c>
      <c r="H208" s="99">
        <f t="shared" si="15"/>
        <v>1</v>
      </c>
      <c r="I208" s="99">
        <f t="shared" si="13"/>
        <v>61420000</v>
      </c>
      <c r="J208" s="99">
        <f t="shared" si="20"/>
        <v>0</v>
      </c>
      <c r="K208" s="99">
        <f t="shared" si="17"/>
        <v>61420000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73</v>
      </c>
      <c r="H209" s="99">
        <f t="shared" si="15"/>
        <v>0</v>
      </c>
      <c r="I209" s="99">
        <f t="shared" si="13"/>
        <v>-3828120</v>
      </c>
      <c r="J209" s="99">
        <f t="shared" si="20"/>
        <v>0</v>
      </c>
      <c r="K209" s="99">
        <f t="shared" si="17"/>
        <v>-3828120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72</v>
      </c>
      <c r="H210" s="99">
        <f t="shared" si="15"/>
        <v>0</v>
      </c>
      <c r="I210" s="99">
        <f t="shared" si="13"/>
        <v>-3679200</v>
      </c>
      <c r="J210" s="99">
        <f t="shared" si="20"/>
        <v>0</v>
      </c>
      <c r="K210" s="99">
        <f t="shared" si="17"/>
        <v>-3679200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71</v>
      </c>
      <c r="H211" s="99">
        <f t="shared" si="15"/>
        <v>0</v>
      </c>
      <c r="I211" s="99">
        <f t="shared" si="13"/>
        <v>-14200000</v>
      </c>
      <c r="J211" s="99">
        <f t="shared" si="20"/>
        <v>0</v>
      </c>
      <c r="K211" s="99">
        <f t="shared" si="17"/>
        <v>-14200000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70</v>
      </c>
      <c r="H212" s="99">
        <f t="shared" si="15"/>
        <v>0</v>
      </c>
      <c r="I212" s="99">
        <f t="shared" si="13"/>
        <v>-1960000</v>
      </c>
      <c r="J212" s="99">
        <f t="shared" si="20"/>
        <v>0</v>
      </c>
      <c r="K212" s="99">
        <f t="shared" si="17"/>
        <v>-1960000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69</v>
      </c>
      <c r="H213" s="99">
        <f t="shared" si="15"/>
        <v>0</v>
      </c>
      <c r="I213" s="99">
        <f t="shared" si="13"/>
        <v>-4077900</v>
      </c>
      <c r="J213" s="99">
        <f t="shared" si="20"/>
        <v>0</v>
      </c>
      <c r="K213" s="99">
        <f t="shared" si="17"/>
        <v>-4077900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68</v>
      </c>
      <c r="H214" s="99">
        <f t="shared" si="15"/>
        <v>0</v>
      </c>
      <c r="I214" s="99">
        <f t="shared" si="13"/>
        <v>-2040000</v>
      </c>
      <c r="J214" s="99">
        <f t="shared" si="20"/>
        <v>0</v>
      </c>
      <c r="K214" s="99">
        <f t="shared" si="17"/>
        <v>-2040000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68</v>
      </c>
      <c r="H215" s="99">
        <f t="shared" si="15"/>
        <v>0</v>
      </c>
      <c r="I215" s="99">
        <f t="shared" si="13"/>
        <v>-12104000</v>
      </c>
      <c r="J215" s="99">
        <f t="shared" si="20"/>
        <v>0</v>
      </c>
      <c r="K215" s="99">
        <f t="shared" si="17"/>
        <v>-12104000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67</v>
      </c>
      <c r="H216" s="99">
        <f t="shared" si="15"/>
        <v>0</v>
      </c>
      <c r="I216" s="99">
        <f t="shared" si="13"/>
        <v>-6405870</v>
      </c>
      <c r="J216" s="99">
        <f t="shared" si="20"/>
        <v>0</v>
      </c>
      <c r="K216" s="99">
        <f t="shared" si="17"/>
        <v>-6405870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64</v>
      </c>
      <c r="H217" s="99">
        <f t="shared" si="15"/>
        <v>0</v>
      </c>
      <c r="I217" s="99">
        <f t="shared" si="13"/>
        <v>-5376000</v>
      </c>
      <c r="J217" s="99">
        <f t="shared" si="20"/>
        <v>0</v>
      </c>
      <c r="K217" s="99">
        <f t="shared" si="17"/>
        <v>-5376000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62</v>
      </c>
      <c r="H218" s="99">
        <f t="shared" si="15"/>
        <v>0</v>
      </c>
      <c r="I218" s="99">
        <f t="shared" si="13"/>
        <v>-2046000</v>
      </c>
      <c r="J218" s="99">
        <f t="shared" si="20"/>
        <v>0</v>
      </c>
      <c r="K218" s="99">
        <f t="shared" si="17"/>
        <v>-2046000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59</v>
      </c>
      <c r="H219" s="99">
        <f t="shared" si="15"/>
        <v>1</v>
      </c>
      <c r="I219" s="99">
        <f t="shared" si="13"/>
        <v>89784000</v>
      </c>
      <c r="J219" s="99">
        <f t="shared" si="20"/>
        <v>0</v>
      </c>
      <c r="K219" s="99">
        <f t="shared" si="17"/>
        <v>89784000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58</v>
      </c>
      <c r="H220" s="99">
        <f t="shared" si="15"/>
        <v>0</v>
      </c>
      <c r="I220" s="99">
        <f t="shared" si="13"/>
        <v>-81240600</v>
      </c>
      <c r="J220" s="99">
        <f t="shared" si="20"/>
        <v>0</v>
      </c>
      <c r="K220" s="99">
        <f t="shared" si="17"/>
        <v>-81240600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58</v>
      </c>
      <c r="H221" s="99">
        <f t="shared" si="15"/>
        <v>0</v>
      </c>
      <c r="I221" s="99">
        <f t="shared" si="13"/>
        <v>-580000</v>
      </c>
      <c r="J221" s="99">
        <f t="shared" si="20"/>
        <v>0</v>
      </c>
      <c r="K221" s="99">
        <f t="shared" si="17"/>
        <v>-580000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58</v>
      </c>
      <c r="H222" s="99">
        <f t="shared" si="15"/>
        <v>0</v>
      </c>
      <c r="I222" s="99">
        <f t="shared" si="13"/>
        <v>-290000</v>
      </c>
      <c r="J222" s="99">
        <f t="shared" si="20"/>
        <v>-145000</v>
      </c>
      <c r="K222" s="99">
        <f t="shared" si="17"/>
        <v>-145000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52</v>
      </c>
      <c r="H223" s="99">
        <f t="shared" si="15"/>
        <v>0</v>
      </c>
      <c r="I223" s="99">
        <f t="shared" si="13"/>
        <v>-9880000</v>
      </c>
      <c r="J223" s="99">
        <f t="shared" si="20"/>
        <v>0</v>
      </c>
      <c r="K223" s="99">
        <f t="shared" si="17"/>
        <v>-9880000</v>
      </c>
      <c r="M223" t="s">
        <v>25</v>
      </c>
    </row>
    <row r="224" spans="1:13">
      <c r="A224" s="99" t="s">
        <v>4297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45</v>
      </c>
      <c r="H224" s="99">
        <f t="shared" si="15"/>
        <v>1</v>
      </c>
      <c r="I224" s="99">
        <f t="shared" si="13"/>
        <v>84084</v>
      </c>
      <c r="J224" s="99">
        <f t="shared" si="20"/>
        <v>2858768</v>
      </c>
      <c r="K224" s="99">
        <f t="shared" si="17"/>
        <v>-2774684</v>
      </c>
      <c r="M224" t="s">
        <v>25</v>
      </c>
    </row>
    <row r="225" spans="1:13">
      <c r="A225" s="99" t="s">
        <v>4316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39</v>
      </c>
      <c r="H225" s="99">
        <f t="shared" si="15"/>
        <v>1</v>
      </c>
      <c r="I225" s="99">
        <f t="shared" si="13"/>
        <v>190000000</v>
      </c>
      <c r="J225" s="99">
        <f t="shared" si="20"/>
        <v>0</v>
      </c>
      <c r="K225" s="99">
        <f t="shared" si="17"/>
        <v>190000000</v>
      </c>
    </row>
    <row r="226" spans="1:13">
      <c r="A226" s="99" t="s">
        <v>4322</v>
      </c>
      <c r="B226" s="18">
        <v>-3200000</v>
      </c>
      <c r="C226" s="18">
        <v>0</v>
      </c>
      <c r="D226" s="18">
        <f t="shared" si="18"/>
        <v>-3200000</v>
      </c>
      <c r="E226" s="99" t="s">
        <v>4335</v>
      </c>
      <c r="F226" s="99">
        <v>0</v>
      </c>
      <c r="G226" s="36">
        <f t="shared" si="21"/>
        <v>38</v>
      </c>
      <c r="H226" s="99">
        <f t="shared" si="15"/>
        <v>0</v>
      </c>
      <c r="I226" s="99">
        <f t="shared" si="13"/>
        <v>-121600000</v>
      </c>
      <c r="J226" s="99">
        <f t="shared" si="20"/>
        <v>0</v>
      </c>
      <c r="K226" s="99">
        <f t="shared" si="17"/>
        <v>-121600000</v>
      </c>
    </row>
    <row r="227" spans="1:13">
      <c r="A227" s="99" t="s">
        <v>4322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38</v>
      </c>
      <c r="H227" s="99">
        <f t="shared" si="15"/>
        <v>1</v>
      </c>
      <c r="I227" s="99">
        <f t="shared" si="13"/>
        <v>88800000</v>
      </c>
      <c r="J227" s="99">
        <f t="shared" si="20"/>
        <v>0</v>
      </c>
      <c r="K227" s="99">
        <f t="shared" si="17"/>
        <v>88800000</v>
      </c>
    </row>
    <row r="228" spans="1:13">
      <c r="A228" s="99" t="s">
        <v>4351</v>
      </c>
      <c r="B228" s="18">
        <v>-50000</v>
      </c>
      <c r="C228" s="18">
        <v>0</v>
      </c>
      <c r="D228" s="18">
        <f t="shared" si="18"/>
        <v>-50000</v>
      </c>
      <c r="E228" s="99" t="s">
        <v>4355</v>
      </c>
      <c r="F228" s="99">
        <v>1</v>
      </c>
      <c r="G228" s="36">
        <f t="shared" si="21"/>
        <v>36</v>
      </c>
      <c r="H228" s="99">
        <f t="shared" si="15"/>
        <v>0</v>
      </c>
      <c r="I228" s="99">
        <f t="shared" si="13"/>
        <v>-1800000</v>
      </c>
      <c r="J228" s="99">
        <f t="shared" si="20"/>
        <v>0</v>
      </c>
      <c r="K228" s="99">
        <f t="shared" si="17"/>
        <v>-1800000</v>
      </c>
    </row>
    <row r="229" spans="1:13">
      <c r="A229" s="99" t="s">
        <v>4345</v>
      </c>
      <c r="B229" s="18">
        <v>-4100700</v>
      </c>
      <c r="C229" s="18">
        <v>0</v>
      </c>
      <c r="D229" s="18">
        <f t="shared" si="18"/>
        <v>-4100700</v>
      </c>
      <c r="E229" s="99" t="s">
        <v>4356</v>
      </c>
      <c r="F229" s="99">
        <v>4</v>
      </c>
      <c r="G229" s="36">
        <f t="shared" si="21"/>
        <v>35</v>
      </c>
      <c r="H229" s="99">
        <f t="shared" si="15"/>
        <v>0</v>
      </c>
      <c r="I229" s="99">
        <f t="shared" si="13"/>
        <v>-143524500</v>
      </c>
      <c r="J229" s="99">
        <f t="shared" si="20"/>
        <v>0</v>
      </c>
      <c r="K229" s="99">
        <f t="shared" si="17"/>
        <v>-143524500</v>
      </c>
    </row>
    <row r="230" spans="1:13">
      <c r="A230" s="99" t="s">
        <v>4364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31</v>
      </c>
      <c r="H230" s="99">
        <f t="shared" si="15"/>
        <v>1</v>
      </c>
      <c r="I230" s="99">
        <f t="shared" si="13"/>
        <v>291000000</v>
      </c>
      <c r="J230" s="99">
        <f t="shared" si="20"/>
        <v>0</v>
      </c>
      <c r="K230" s="99">
        <f t="shared" si="17"/>
        <v>291000000</v>
      </c>
    </row>
    <row r="231" spans="1:13">
      <c r="A231" s="99" t="s">
        <v>4364</v>
      </c>
      <c r="B231" s="18">
        <v>-3000900</v>
      </c>
      <c r="C231" s="18">
        <v>0</v>
      </c>
      <c r="D231" s="18">
        <f t="shared" si="18"/>
        <v>-3000900</v>
      </c>
      <c r="E231" s="99" t="s">
        <v>4372</v>
      </c>
      <c r="F231" s="99">
        <v>1</v>
      </c>
      <c r="G231" s="36">
        <f t="shared" si="21"/>
        <v>31</v>
      </c>
      <c r="H231" s="99">
        <f t="shared" si="15"/>
        <v>0</v>
      </c>
      <c r="I231" s="99">
        <f t="shared" si="13"/>
        <v>-93027900</v>
      </c>
      <c r="J231" s="99">
        <f t="shared" si="20"/>
        <v>0</v>
      </c>
      <c r="K231" s="99">
        <f t="shared" si="17"/>
        <v>-93027900</v>
      </c>
    </row>
    <row r="232" spans="1:13">
      <c r="A232" s="99" t="s">
        <v>4365</v>
      </c>
      <c r="B232" s="18">
        <v>-3000900</v>
      </c>
      <c r="C232" s="18">
        <v>0</v>
      </c>
      <c r="D232" s="18">
        <f t="shared" si="18"/>
        <v>-3000900</v>
      </c>
      <c r="E232" s="99" t="s">
        <v>4372</v>
      </c>
      <c r="F232" s="99">
        <v>0</v>
      </c>
      <c r="G232" s="36">
        <f t="shared" si="21"/>
        <v>30</v>
      </c>
      <c r="H232" s="99">
        <f t="shared" si="15"/>
        <v>0</v>
      </c>
      <c r="I232" s="99">
        <f t="shared" si="13"/>
        <v>-90027000</v>
      </c>
      <c r="J232" s="99">
        <f t="shared" si="20"/>
        <v>0</v>
      </c>
      <c r="K232" s="99">
        <f t="shared" si="17"/>
        <v>-90027000</v>
      </c>
    </row>
    <row r="233" spans="1:13">
      <c r="A233" s="99" t="s">
        <v>4365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30</v>
      </c>
      <c r="H233" s="99">
        <f t="shared" si="15"/>
        <v>0</v>
      </c>
      <c r="I233" s="99">
        <f t="shared" si="13"/>
        <v>-16650000</v>
      </c>
      <c r="J233" s="99">
        <f t="shared" si="20"/>
        <v>0</v>
      </c>
      <c r="K233" s="99">
        <f t="shared" si="17"/>
        <v>-16650000</v>
      </c>
    </row>
    <row r="234" spans="1:13">
      <c r="A234" s="99" t="s">
        <v>4384</v>
      </c>
      <c r="B234" s="18">
        <v>-138360</v>
      </c>
      <c r="C234" s="18">
        <v>0</v>
      </c>
      <c r="D234" s="18">
        <f t="shared" si="18"/>
        <v>-138360</v>
      </c>
      <c r="E234" s="99" t="s">
        <v>4386</v>
      </c>
      <c r="F234" s="99">
        <v>1</v>
      </c>
      <c r="G234" s="36">
        <f t="shared" si="21"/>
        <v>29</v>
      </c>
      <c r="H234" s="99">
        <f t="shared" si="15"/>
        <v>0</v>
      </c>
      <c r="I234" s="99">
        <f t="shared" si="13"/>
        <v>-4012440</v>
      </c>
      <c r="J234" s="99">
        <f t="shared" si="20"/>
        <v>0</v>
      </c>
      <c r="K234" s="99">
        <f t="shared" si="17"/>
        <v>-4012440</v>
      </c>
    </row>
    <row r="235" spans="1:13">
      <c r="A235" s="99" t="s">
        <v>4387</v>
      </c>
      <c r="B235" s="18">
        <v>-3000900</v>
      </c>
      <c r="C235" s="18">
        <v>0</v>
      </c>
      <c r="D235" s="18">
        <f t="shared" si="18"/>
        <v>-3000900</v>
      </c>
      <c r="E235" s="99" t="s">
        <v>4372</v>
      </c>
      <c r="F235" s="99">
        <v>2</v>
      </c>
      <c r="G235" s="36">
        <f t="shared" si="21"/>
        <v>28</v>
      </c>
      <c r="H235" s="99">
        <f t="shared" si="15"/>
        <v>0</v>
      </c>
      <c r="I235" s="99">
        <f t="shared" si="13"/>
        <v>-84025200</v>
      </c>
      <c r="J235" s="99">
        <f t="shared" si="20"/>
        <v>0</v>
      </c>
      <c r="K235" s="99">
        <f t="shared" si="17"/>
        <v>-84025200</v>
      </c>
      <c r="M235" t="s">
        <v>25</v>
      </c>
    </row>
    <row r="236" spans="1:13">
      <c r="A236" s="99" t="s">
        <v>4393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26</v>
      </c>
      <c r="H236" s="99">
        <f t="shared" si="15"/>
        <v>0</v>
      </c>
      <c r="I236" s="99">
        <f t="shared" si="13"/>
        <v>-1430000</v>
      </c>
      <c r="J236" s="99">
        <f t="shared" si="20"/>
        <v>0</v>
      </c>
      <c r="K236" s="99">
        <f t="shared" si="17"/>
        <v>-1430000</v>
      </c>
    </row>
    <row r="237" spans="1:13">
      <c r="A237" s="99" t="s">
        <v>4412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22</v>
      </c>
      <c r="H237" s="99">
        <f t="shared" si="15"/>
        <v>1</v>
      </c>
      <c r="I237" s="99">
        <f t="shared" si="13"/>
        <v>126735000</v>
      </c>
      <c r="J237" s="99">
        <f t="shared" si="20"/>
        <v>0</v>
      </c>
      <c r="K237" s="99">
        <f t="shared" si="17"/>
        <v>126735000</v>
      </c>
    </row>
    <row r="238" spans="1:13">
      <c r="A238" s="99" t="s">
        <v>4419</v>
      </c>
      <c r="B238" s="18">
        <v>-7500</v>
      </c>
      <c r="C238" s="18">
        <v>0</v>
      </c>
      <c r="D238" s="18">
        <f t="shared" si="18"/>
        <v>-7500</v>
      </c>
      <c r="E238" s="99" t="s">
        <v>4420</v>
      </c>
      <c r="F238" s="99">
        <v>1</v>
      </c>
      <c r="G238" s="36">
        <f t="shared" si="21"/>
        <v>20</v>
      </c>
      <c r="H238" s="99">
        <f t="shared" si="15"/>
        <v>0</v>
      </c>
      <c r="I238" s="99">
        <f t="shared" si="13"/>
        <v>-150000</v>
      </c>
      <c r="J238" s="99">
        <f t="shared" si="20"/>
        <v>0</v>
      </c>
      <c r="K238" s="99">
        <f t="shared" si="17"/>
        <v>-150000</v>
      </c>
    </row>
    <row r="239" spans="1:13">
      <c r="A239" s="99" t="s">
        <v>4421</v>
      </c>
      <c r="B239" s="18">
        <v>-4098523</v>
      </c>
      <c r="C239" s="18">
        <v>0</v>
      </c>
      <c r="D239" s="18">
        <f t="shared" si="18"/>
        <v>-4098523</v>
      </c>
      <c r="E239" s="99" t="s">
        <v>4422</v>
      </c>
      <c r="F239" s="99">
        <v>0</v>
      </c>
      <c r="G239" s="36">
        <f t="shared" si="21"/>
        <v>19</v>
      </c>
      <c r="H239" s="99">
        <f t="shared" si="15"/>
        <v>0</v>
      </c>
      <c r="I239" s="99">
        <f t="shared" si="13"/>
        <v>-77871937</v>
      </c>
      <c r="J239" s="99">
        <f t="shared" si="20"/>
        <v>0</v>
      </c>
      <c r="K239" s="99">
        <f t="shared" si="17"/>
        <v>-77871937</v>
      </c>
    </row>
    <row r="240" spans="1:13">
      <c r="A240" s="99" t="s">
        <v>4423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19</v>
      </c>
      <c r="H240" s="99">
        <f t="shared" si="15"/>
        <v>0</v>
      </c>
      <c r="I240" s="99">
        <f t="shared" si="13"/>
        <v>-631275</v>
      </c>
      <c r="J240" s="99">
        <f t="shared" si="20"/>
        <v>0</v>
      </c>
      <c r="K240" s="99">
        <f t="shared" si="17"/>
        <v>-631275</v>
      </c>
    </row>
    <row r="241" spans="1:13">
      <c r="A241" s="99" t="s">
        <v>4423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19</v>
      </c>
      <c r="H241" s="99">
        <f t="shared" si="15"/>
        <v>0</v>
      </c>
      <c r="I241" s="99">
        <f t="shared" si="13"/>
        <v>-36005000</v>
      </c>
      <c r="J241" s="99">
        <f t="shared" si="20"/>
        <v>0</v>
      </c>
      <c r="K241" s="99">
        <f t="shared" si="17"/>
        <v>-36005000</v>
      </c>
    </row>
    <row r="242" spans="1:13">
      <c r="A242" s="99" t="s">
        <v>4468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12</v>
      </c>
      <c r="H242" s="99">
        <f t="shared" si="15"/>
        <v>1</v>
      </c>
      <c r="I242" s="99">
        <f t="shared" si="13"/>
        <v>27500000</v>
      </c>
      <c r="J242" s="99">
        <f t="shared" si="20"/>
        <v>0</v>
      </c>
      <c r="K242" s="99">
        <f t="shared" si="17"/>
        <v>27500000</v>
      </c>
    </row>
    <row r="243" spans="1:13">
      <c r="A243" s="99" t="s">
        <v>4475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10</v>
      </c>
      <c r="H243" s="99">
        <f t="shared" si="15"/>
        <v>0</v>
      </c>
      <c r="I243" s="99">
        <f t="shared" si="13"/>
        <v>-25000000</v>
      </c>
      <c r="J243" s="99">
        <f t="shared" si="20"/>
        <v>0</v>
      </c>
      <c r="K243" s="99">
        <f t="shared" si="17"/>
        <v>-25000000</v>
      </c>
    </row>
    <row r="244" spans="1:13">
      <c r="A244" s="99" t="s">
        <v>4485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8</v>
      </c>
      <c r="H244" s="99">
        <f t="shared" si="15"/>
        <v>1</v>
      </c>
      <c r="I244" s="99">
        <f t="shared" si="13"/>
        <v>7700000</v>
      </c>
      <c r="J244" s="99">
        <f t="shared" si="20"/>
        <v>0</v>
      </c>
      <c r="K244" s="99">
        <f t="shared" si="17"/>
        <v>7700000</v>
      </c>
    </row>
    <row r="245" spans="1:13">
      <c r="A245" s="99" t="s">
        <v>4493</v>
      </c>
      <c r="B245" s="18">
        <v>3000000</v>
      </c>
      <c r="C245" s="18">
        <v>0</v>
      </c>
      <c r="D245" s="18">
        <f t="shared" si="18"/>
        <v>3000000</v>
      </c>
      <c r="E245" s="99" t="s">
        <v>4495</v>
      </c>
      <c r="F245" s="99">
        <v>2</v>
      </c>
      <c r="G245" s="36">
        <f t="shared" si="21"/>
        <v>6</v>
      </c>
      <c r="H245" s="99">
        <f t="shared" si="15"/>
        <v>1</v>
      </c>
      <c r="I245" s="99">
        <f t="shared" si="13"/>
        <v>15000000</v>
      </c>
      <c r="J245" s="99">
        <f t="shared" si="20"/>
        <v>0</v>
      </c>
      <c r="K245" s="99">
        <f t="shared" si="17"/>
        <v>15000000</v>
      </c>
    </row>
    <row r="246" spans="1:13">
      <c r="A246" s="99" t="s">
        <v>4484</v>
      </c>
      <c r="B246" s="18">
        <v>-4040700</v>
      </c>
      <c r="C246" s="18">
        <v>0</v>
      </c>
      <c r="D246" s="18">
        <f t="shared" si="18"/>
        <v>-4040700</v>
      </c>
      <c r="E246" s="99" t="s">
        <v>4529</v>
      </c>
      <c r="F246" s="99">
        <v>0</v>
      </c>
      <c r="G246" s="36">
        <f t="shared" si="21"/>
        <v>4</v>
      </c>
      <c r="H246" s="99">
        <f t="shared" si="15"/>
        <v>0</v>
      </c>
      <c r="I246" s="99">
        <f t="shared" si="13"/>
        <v>-16162800</v>
      </c>
      <c r="J246" s="99">
        <f t="shared" si="20"/>
        <v>0</v>
      </c>
      <c r="K246" s="99">
        <f t="shared" si="17"/>
        <v>-16162800</v>
      </c>
    </row>
    <row r="247" spans="1:13">
      <c r="A247" s="99" t="s">
        <v>4484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4</v>
      </c>
      <c r="H247" s="99">
        <f t="shared" si="15"/>
        <v>1</v>
      </c>
      <c r="I247" s="99">
        <f t="shared" si="13"/>
        <v>1470000</v>
      </c>
      <c r="J247" s="99">
        <f t="shared" si="20"/>
        <v>0</v>
      </c>
      <c r="K247" s="99">
        <f t="shared" si="17"/>
        <v>1470000</v>
      </c>
    </row>
    <row r="248" spans="1:13">
      <c r="A248" s="99" t="s">
        <v>4534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3</v>
      </c>
      <c r="H248" s="99">
        <f t="shared" si="15"/>
        <v>1</v>
      </c>
      <c r="I248" s="99">
        <f t="shared" si="13"/>
        <v>2800000</v>
      </c>
      <c r="J248" s="99">
        <f t="shared" si="20"/>
        <v>0</v>
      </c>
      <c r="K248" s="99">
        <f t="shared" si="17"/>
        <v>2800000</v>
      </c>
      <c r="M248" t="s">
        <v>25</v>
      </c>
    </row>
    <row r="249" spans="1:13">
      <c r="A249" s="99" t="s">
        <v>4534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3</v>
      </c>
      <c r="H249" s="99">
        <f t="shared" si="15"/>
        <v>0</v>
      </c>
      <c r="I249" s="99">
        <f t="shared" si="13"/>
        <v>-4500000</v>
      </c>
      <c r="J249" s="99">
        <f t="shared" si="20"/>
        <v>0</v>
      </c>
      <c r="K249" s="99">
        <f t="shared" si="17"/>
        <v>-4500000</v>
      </c>
    </row>
    <row r="250" spans="1:13">
      <c r="A250" s="99" t="s">
        <v>4544</v>
      </c>
      <c r="B250" s="18">
        <v>-100000</v>
      </c>
      <c r="C250" s="18">
        <v>0</v>
      </c>
      <c r="D250" s="18">
        <f t="shared" si="18"/>
        <v>-100000</v>
      </c>
      <c r="E250" s="99" t="s">
        <v>3772</v>
      </c>
      <c r="F250" s="99">
        <v>1</v>
      </c>
      <c r="G250" s="36">
        <f t="shared" si="21"/>
        <v>2</v>
      </c>
      <c r="H250" s="99">
        <f t="shared" si="15"/>
        <v>0</v>
      </c>
      <c r="I250" s="99">
        <f t="shared" si="13"/>
        <v>-200000</v>
      </c>
      <c r="J250" s="99">
        <f t="shared" si="20"/>
        <v>0</v>
      </c>
      <c r="K250" s="99">
        <f t="shared" si="17"/>
        <v>-200000</v>
      </c>
    </row>
    <row r="251" spans="1:13">
      <c r="A251" s="99" t="s">
        <v>4235</v>
      </c>
      <c r="B251" s="18">
        <v>-13900</v>
      </c>
      <c r="C251" s="18">
        <v>0</v>
      </c>
      <c r="D251" s="18">
        <f t="shared" si="18"/>
        <v>-13900</v>
      </c>
      <c r="E251" s="99" t="s">
        <v>4017</v>
      </c>
      <c r="F251" s="99">
        <v>0</v>
      </c>
      <c r="G251" s="36">
        <f t="shared" si="21"/>
        <v>1</v>
      </c>
      <c r="H251" s="99">
        <f t="shared" si="15"/>
        <v>0</v>
      </c>
      <c r="I251" s="99">
        <f t="shared" si="13"/>
        <v>-13900</v>
      </c>
      <c r="J251" s="99">
        <f t="shared" si="20"/>
        <v>0</v>
      </c>
      <c r="K251" s="99">
        <f t="shared" si="17"/>
        <v>-13900</v>
      </c>
    </row>
    <row r="252" spans="1:13">
      <c r="A252" s="99" t="s">
        <v>4235</v>
      </c>
      <c r="B252" s="18">
        <v>300000</v>
      </c>
      <c r="C252" s="18">
        <v>0</v>
      </c>
      <c r="D252" s="18">
        <f t="shared" si="18"/>
        <v>300000</v>
      </c>
      <c r="E252" s="99" t="s">
        <v>3893</v>
      </c>
      <c r="F252" s="99">
        <v>1</v>
      </c>
      <c r="G252" s="36">
        <f t="shared" si="21"/>
        <v>1</v>
      </c>
      <c r="H252" s="99">
        <f t="shared" si="15"/>
        <v>1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643170</v>
      </c>
      <c r="C267" s="29">
        <f>SUM(C2:C256)</f>
        <v>7968789</v>
      </c>
      <c r="D267" s="29">
        <f>SUM(D2:D254)</f>
        <v>-7325619</v>
      </c>
      <c r="E267" s="11"/>
      <c r="F267" s="11"/>
      <c r="G267" s="11"/>
      <c r="H267" s="11"/>
      <c r="I267" s="29">
        <f>SUM(I2:I266)</f>
        <v>18816233631</v>
      </c>
      <c r="J267" s="29">
        <f>SUM(J2:J266)</f>
        <v>8655810273</v>
      </c>
      <c r="K267" s="29">
        <f>SUM(K2:K266)</f>
        <v>10160423358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19398179.001030929</v>
      </c>
      <c r="J270" s="29">
        <f>J267/G2</f>
        <v>8923515.7453608252</v>
      </c>
      <c r="K270" s="29">
        <f>K267/G2</f>
        <v>10474663.255670102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-6128980</v>
      </c>
      <c r="G274" t="s">
        <v>25</v>
      </c>
      <c r="J274">
        <f>J267/I267*1448696</f>
        <v>666426.55300552736</v>
      </c>
      <c r="K274">
        <f>K267/I267*1448696</f>
        <v>782269.44699447253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70"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4322</v>
      </c>
      <c r="B4" s="18">
        <v>-3200000</v>
      </c>
      <c r="C4" s="18">
        <v>0</v>
      </c>
      <c r="D4" s="113">
        <f t="shared" si="0"/>
        <v>-3200000</v>
      </c>
      <c r="E4" s="99" t="s">
        <v>4334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4322</v>
      </c>
      <c r="B5" s="18">
        <v>2400000</v>
      </c>
      <c r="C5" s="18">
        <v>0</v>
      </c>
      <c r="D5" s="113">
        <f t="shared" si="0"/>
        <v>2400000</v>
      </c>
      <c r="E5" s="20" t="s">
        <v>4337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4345</v>
      </c>
      <c r="B6" s="18">
        <v>-2000700</v>
      </c>
      <c r="C6" s="18">
        <v>0</v>
      </c>
      <c r="D6" s="113">
        <f t="shared" si="0"/>
        <v>-2000700</v>
      </c>
      <c r="E6" s="19" t="s">
        <v>4346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4345</v>
      </c>
      <c r="B7" s="18">
        <v>-200000</v>
      </c>
      <c r="C7" s="18">
        <v>0</v>
      </c>
      <c r="D7" s="113">
        <f t="shared" si="0"/>
        <v>-200000</v>
      </c>
      <c r="E7" s="19" t="s">
        <v>4347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4345</v>
      </c>
      <c r="B8" s="18">
        <v>-1900000</v>
      </c>
      <c r="C8" s="18">
        <v>0</v>
      </c>
      <c r="D8" s="113">
        <f t="shared" si="0"/>
        <v>-1900000</v>
      </c>
      <c r="E8" s="19" t="s">
        <v>4348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4351</v>
      </c>
      <c r="B9" s="18">
        <v>-50000</v>
      </c>
      <c r="C9" s="18">
        <v>0</v>
      </c>
      <c r="D9" s="113">
        <f t="shared" si="0"/>
        <v>-50000</v>
      </c>
      <c r="E9" s="21" t="s">
        <v>4352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4364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4364</v>
      </c>
      <c r="B11" s="18">
        <v>-3000900</v>
      </c>
      <c r="C11" s="18">
        <v>0</v>
      </c>
      <c r="D11" s="113">
        <f t="shared" si="0"/>
        <v>-3000900</v>
      </c>
      <c r="E11" s="19" t="s">
        <v>4372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4365</v>
      </c>
      <c r="B12" s="18">
        <v>-3000900</v>
      </c>
      <c r="C12" s="18">
        <v>0</v>
      </c>
      <c r="D12" s="113">
        <f t="shared" si="0"/>
        <v>-3000900</v>
      </c>
      <c r="E12" s="20" t="s">
        <v>4372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4365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4384</v>
      </c>
      <c r="B14" s="18">
        <v>-138360</v>
      </c>
      <c r="C14" s="18">
        <v>0</v>
      </c>
      <c r="D14" s="113">
        <f t="shared" si="0"/>
        <v>-138360</v>
      </c>
      <c r="E14" s="20" t="s">
        <v>4385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4387</v>
      </c>
      <c r="B15" s="18">
        <v>-3000900</v>
      </c>
      <c r="C15" s="18">
        <v>0</v>
      </c>
      <c r="D15" s="117">
        <f t="shared" si="0"/>
        <v>-3000900</v>
      </c>
      <c r="E15" s="20" t="s">
        <v>4372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4393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4412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4423</v>
      </c>
      <c r="B18" s="18">
        <v>-4098523</v>
      </c>
      <c r="C18" s="18">
        <v>0</v>
      </c>
      <c r="D18" s="113">
        <f t="shared" si="0"/>
        <v>-4098523</v>
      </c>
      <c r="E18" s="20" t="s">
        <v>4422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4423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4423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4419</v>
      </c>
      <c r="B21" s="18">
        <v>-7500</v>
      </c>
      <c r="C21" s="18">
        <v>0</v>
      </c>
      <c r="D21" s="113">
        <f t="shared" si="0"/>
        <v>-7500</v>
      </c>
      <c r="E21" s="19" t="s">
        <v>4420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4466</v>
      </c>
      <c r="B22" s="18">
        <v>7964</v>
      </c>
      <c r="C22" s="18">
        <v>65497</v>
      </c>
      <c r="D22" s="113">
        <f t="shared" si="0"/>
        <v>-57533</v>
      </c>
      <c r="E22" s="19" t="s">
        <v>4467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4300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4326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4353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4350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4361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4370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4371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4368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4390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4400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4402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4411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4413</v>
      </c>
    </row>
    <row r="82" spans="4:5">
      <c r="D82" s="114">
        <v>-142143</v>
      </c>
      <c r="E82" s="54" t="s">
        <v>4417</v>
      </c>
    </row>
    <row r="83" spans="4:5">
      <c r="D83" s="114">
        <v>-128352</v>
      </c>
      <c r="E83" s="54" t="s">
        <v>4416</v>
      </c>
    </row>
    <row r="84" spans="4:5">
      <c r="D84" s="114">
        <v>-6035000</v>
      </c>
      <c r="E84" s="54" t="s">
        <v>4426</v>
      </c>
    </row>
    <row r="85" spans="4:5">
      <c r="D85" s="114">
        <v>-55957</v>
      </c>
      <c r="E85" s="54" t="s">
        <v>4425</v>
      </c>
    </row>
    <row r="86" spans="4:5">
      <c r="D86" s="114">
        <v>7500</v>
      </c>
      <c r="E86" s="54" t="s">
        <v>4424</v>
      </c>
    </row>
    <row r="87" spans="4:5">
      <c r="D87" s="114">
        <v>1700000</v>
      </c>
      <c r="E87" s="54" t="s">
        <v>4427</v>
      </c>
    </row>
    <row r="88" spans="4:5">
      <c r="D88" s="114">
        <v>129648</v>
      </c>
      <c r="E88" s="54" t="s">
        <v>4428</v>
      </c>
    </row>
    <row r="89" spans="4:5">
      <c r="D89" s="114">
        <v>1000000</v>
      </c>
      <c r="E89" s="54" t="s">
        <v>4433</v>
      </c>
    </row>
    <row r="90" spans="4:5">
      <c r="D90" s="114">
        <v>-53003</v>
      </c>
      <c r="E90" s="54" t="s">
        <v>4434</v>
      </c>
    </row>
    <row r="91" spans="4:5">
      <c r="D91" s="114">
        <v>-23690</v>
      </c>
      <c r="E91" s="54" t="s">
        <v>4434</v>
      </c>
    </row>
    <row r="92" spans="4:5">
      <c r="D92" s="114">
        <v>-216910</v>
      </c>
      <c r="E92" s="54" t="s">
        <v>4436</v>
      </c>
    </row>
    <row r="93" spans="4:5">
      <c r="D93" s="114">
        <v>-30304</v>
      </c>
      <c r="E93" s="54" t="s">
        <v>4440</v>
      </c>
    </row>
    <row r="94" spans="4:5">
      <c r="D94" s="114">
        <v>-10067</v>
      </c>
      <c r="E94" s="54" t="s">
        <v>4441</v>
      </c>
    </row>
    <row r="95" spans="4:5">
      <c r="D95" s="114">
        <v>-16248</v>
      </c>
      <c r="E95" s="54" t="s">
        <v>4443</v>
      </c>
    </row>
    <row r="96" spans="4:5">
      <c r="D96" s="114">
        <v>-87695</v>
      </c>
      <c r="E96" s="54" t="s">
        <v>4446</v>
      </c>
    </row>
    <row r="97" spans="4:7">
      <c r="D97" s="114">
        <v>-29231</v>
      </c>
      <c r="E97" s="54" t="s">
        <v>4447</v>
      </c>
    </row>
    <row r="98" spans="4:7">
      <c r="D98" s="114">
        <v>1000000</v>
      </c>
      <c r="E98" s="54" t="s">
        <v>4449</v>
      </c>
    </row>
    <row r="99" spans="4:7">
      <c r="D99" s="114">
        <v>-35250</v>
      </c>
      <c r="E99" s="54" t="s">
        <v>4450</v>
      </c>
    </row>
    <row r="100" spans="4:7">
      <c r="D100" s="114">
        <v>-57477</v>
      </c>
      <c r="E100" s="54" t="s">
        <v>4451</v>
      </c>
    </row>
    <row r="101" spans="4:7">
      <c r="D101" s="114">
        <v>-13565</v>
      </c>
      <c r="E101" s="54" t="s">
        <v>4452</v>
      </c>
    </row>
    <row r="102" spans="4:7">
      <c r="D102" s="114">
        <v>-9429</v>
      </c>
      <c r="E102" s="54" t="s">
        <v>4457</v>
      </c>
    </row>
    <row r="103" spans="4:7">
      <c r="D103" s="114">
        <v>-600000</v>
      </c>
      <c r="E103" s="54" t="s">
        <v>4458</v>
      </c>
    </row>
    <row r="104" spans="4:7">
      <c r="D104" s="114">
        <v>335</v>
      </c>
      <c r="E104" s="54" t="s">
        <v>4461</v>
      </c>
    </row>
    <row r="105" spans="4:7">
      <c r="D105" s="114">
        <v>31026</v>
      </c>
      <c r="E105" s="54" t="s">
        <v>4462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99046.003825865118</v>
      </c>
      <c r="C3" s="188">
        <f t="shared" si="0"/>
        <v>99197.985607816503</v>
      </c>
      <c r="D3" s="188">
        <f t="shared" ref="D3:D38" si="5">$S3/(1+($D$1-$O3+$P3)/36500)^$N3</f>
        <v>99217.000892295604</v>
      </c>
      <c r="E3" s="188">
        <f t="shared" ref="E3:E38" si="6">$S3/(1+($E$1-$O3+$P3)/36500)^$N3</f>
        <v>99236.020082232528</v>
      </c>
      <c r="F3" s="188">
        <f t="shared" ref="F3:F38" si="7">$S3/(1+($F$1-$O3+$P3)/36500)^$N3</f>
        <v>99255.043178483247</v>
      </c>
      <c r="G3" s="188">
        <f t="shared" ref="G3:G38" si="8">$S3/(1+($G$1-$O3+$P3)/36500)^$N3</f>
        <v>99274.070181903095</v>
      </c>
      <c r="H3" s="188">
        <f t="shared" ref="H3:H38" si="9">$S3/(1+($H$1-$O3+$P3)/36500)^$N3</f>
        <v>99293.101093348567</v>
      </c>
      <c r="I3" s="188">
        <f t="shared" ref="I3:I38" si="10">$S3/(1+($I$1-$O3+$P3)/36500)^$N3</f>
        <v>99312.13591367552</v>
      </c>
      <c r="J3" s="188">
        <f t="shared" ref="J3:J38" si="11">$S3/(1+($J$1-$O3+$P3)/36500)^$N3</f>
        <v>99331.174643740407</v>
      </c>
      <c r="K3" s="188">
        <f t="shared" ref="K3:K38" si="12">$S3/(1+($K$1-$O3+$P3)/36500)^$N3</f>
        <v>99350.21728440038</v>
      </c>
      <c r="L3" s="188">
        <f t="shared" si="1"/>
        <v>99236.020082232528</v>
      </c>
      <c r="M3" s="187" t="s">
        <v>4234</v>
      </c>
      <c r="N3" s="187">
        <f>272-$AD$19</f>
        <v>14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86547.994414879649</v>
      </c>
      <c r="C7" s="188">
        <f t="shared" si="0"/>
        <v>88571.296231699031</v>
      </c>
      <c r="D7" s="188">
        <f t="shared" si="5"/>
        <v>88827.528140362279</v>
      </c>
      <c r="E7" s="188">
        <f t="shared" si="6"/>
        <v>89084.5048372124</v>
      </c>
      <c r="F7" s="188">
        <f t="shared" si="7"/>
        <v>89342.228497369317</v>
      </c>
      <c r="G7" s="188">
        <f t="shared" si="8"/>
        <v>89600.701302322937</v>
      </c>
      <c r="H7" s="188">
        <f t="shared" si="9"/>
        <v>89859.925439976432</v>
      </c>
      <c r="I7" s="188">
        <f t="shared" si="10"/>
        <v>90119.903104643236</v>
      </c>
      <c r="J7" s="188">
        <f t="shared" si="11"/>
        <v>90380.636497079715</v>
      </c>
      <c r="K7" s="188">
        <f t="shared" si="12"/>
        <v>90642.12782450729</v>
      </c>
      <c r="L7" s="188">
        <f t="shared" si="1"/>
        <v>89084.5048372124</v>
      </c>
      <c r="M7" s="187" t="s">
        <v>993</v>
      </c>
      <c r="N7" s="187">
        <f>469-$AD$19</f>
        <v>211</v>
      </c>
      <c r="O7" s="187">
        <v>0</v>
      </c>
      <c r="P7" s="187">
        <v>0</v>
      </c>
      <c r="Q7" s="187">
        <v>0</v>
      </c>
      <c r="R7" s="187">
        <f t="shared" si="2"/>
        <v>6.918032786885246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4235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74649.553771356703</v>
      </c>
      <c r="C10" s="188">
        <f t="shared" si="0"/>
        <v>78223.459687256604</v>
      </c>
      <c r="D10" s="188">
        <f t="shared" si="5"/>
        <v>78682.092656479595</v>
      </c>
      <c r="E10" s="188">
        <f t="shared" si="6"/>
        <v>79143.420976993148</v>
      </c>
      <c r="F10" s="188">
        <f t="shared" si="7"/>
        <v>79607.460526411698</v>
      </c>
      <c r="G10" s="188">
        <f t="shared" si="8"/>
        <v>80074.227276077727</v>
      </c>
      <c r="H10" s="188">
        <f t="shared" si="9"/>
        <v>80543.737291660771</v>
      </c>
      <c r="I10" s="188">
        <f t="shared" si="10"/>
        <v>81016.00673367588</v>
      </c>
      <c r="J10" s="188">
        <f t="shared" si="11"/>
        <v>81491.051858070176</v>
      </c>
      <c r="K10" s="188">
        <f t="shared" si="12"/>
        <v>81968.88901679343</v>
      </c>
      <c r="L10" s="188">
        <f t="shared" si="1"/>
        <v>79143.420976993148</v>
      </c>
      <c r="M10" s="187" t="s">
        <v>998</v>
      </c>
      <c r="N10" s="187">
        <f>685-$AD$19</f>
        <v>427</v>
      </c>
      <c r="O10" s="187">
        <v>0</v>
      </c>
      <c r="P10" s="187">
        <v>0</v>
      </c>
      <c r="Q10" s="187">
        <v>0</v>
      </c>
      <c r="R10" s="187">
        <f t="shared" si="2"/>
        <v>14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79068.85842186345</v>
      </c>
      <c r="C13" s="188">
        <f t="shared" si="0"/>
        <v>82095.603807312829</v>
      </c>
      <c r="D13" s="188">
        <f t="shared" si="5"/>
        <v>82482.028127861122</v>
      </c>
      <c r="E13" s="188">
        <f t="shared" si="6"/>
        <v>82870.276677098853</v>
      </c>
      <c r="F13" s="188">
        <f t="shared" si="7"/>
        <v>83260.358091991075</v>
      </c>
      <c r="G13" s="188">
        <f t="shared" si="8"/>
        <v>83652.281050495862</v>
      </c>
      <c r="H13" s="188">
        <f t="shared" si="9"/>
        <v>84046.054271796573</v>
      </c>
      <c r="I13" s="188">
        <f t="shared" si="10"/>
        <v>84441.686516464833</v>
      </c>
      <c r="J13" s="188">
        <f t="shared" si="11"/>
        <v>84839.186586678727</v>
      </c>
      <c r="K13" s="188">
        <f t="shared" si="12"/>
        <v>85238.56332642585</v>
      </c>
      <c r="L13" s="188">
        <f t="shared" si="1"/>
        <v>82870.276677098853</v>
      </c>
      <c r="M13" s="187" t="s">
        <v>991</v>
      </c>
      <c r="N13" s="187">
        <f>601-$AD$19</f>
        <v>343</v>
      </c>
      <c r="O13" s="187">
        <v>0</v>
      </c>
      <c r="P13" s="187">
        <v>0</v>
      </c>
      <c r="Q13" s="187">
        <v>0</v>
      </c>
      <c r="R13" s="187">
        <f t="shared" si="2"/>
        <v>11.245901639344263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3855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3908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4212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99453.739818107439</v>
      </c>
      <c r="C17" s="188">
        <f t="shared" si="0"/>
        <v>99540.915413847426</v>
      </c>
      <c r="D17" s="188">
        <f t="shared" si="5"/>
        <v>99551.818406454418</v>
      </c>
      <c r="E17" s="188">
        <f t="shared" si="6"/>
        <v>99562.722742594109</v>
      </c>
      <c r="F17" s="188">
        <f t="shared" si="7"/>
        <v>99573.628422450667</v>
      </c>
      <c r="G17" s="188">
        <f t="shared" si="8"/>
        <v>99584.53544620781</v>
      </c>
      <c r="H17" s="188">
        <f t="shared" si="9"/>
        <v>99595.443814049795</v>
      </c>
      <c r="I17" s="188">
        <f t="shared" si="10"/>
        <v>99606.353526160514</v>
      </c>
      <c r="J17" s="188">
        <f t="shared" si="11"/>
        <v>99617.264582724019</v>
      </c>
      <c r="K17" s="188">
        <f t="shared" si="12"/>
        <v>99628.176983924757</v>
      </c>
      <c r="L17" s="188">
        <f t="shared" si="1"/>
        <v>99562.722742594109</v>
      </c>
      <c r="M17" s="187" t="s">
        <v>4236</v>
      </c>
      <c r="N17" s="187">
        <f>266-$AD$19</f>
        <v>8</v>
      </c>
      <c r="O17" s="187">
        <v>0</v>
      </c>
      <c r="P17" s="187">
        <v>0</v>
      </c>
      <c r="Q17" s="187">
        <v>0</v>
      </c>
      <c r="R17" s="187">
        <f t="shared" si="2"/>
        <v>0.26229508196721313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4237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4238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4230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3855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66857.823112987317</v>
      </c>
      <c r="C21" s="188">
        <f>$S21/(1+($C$1-$O21+$P21)/36500)^$N21</f>
        <v>71304.974843349148</v>
      </c>
      <c r="D21" s="188">
        <f t="shared" si="5"/>
        <v>71881.312145205186</v>
      </c>
      <c r="E21" s="188">
        <f t="shared" si="6"/>
        <v>72462.31579975826</v>
      </c>
      <c r="F21" s="188">
        <f t="shared" si="7"/>
        <v>73048.023653116747</v>
      </c>
      <c r="G21" s="188">
        <f t="shared" si="8"/>
        <v>73638.473858833444</v>
      </c>
      <c r="H21" s="188">
        <f t="shared" si="9"/>
        <v>74233.704880463745</v>
      </c>
      <c r="I21" s="188">
        <f t="shared" si="10"/>
        <v>74833.755494038065</v>
      </c>
      <c r="J21" s="188">
        <f t="shared" si="11"/>
        <v>75438.664790636714</v>
      </c>
      <c r="K21" s="188">
        <f t="shared" si="12"/>
        <v>76048.472178961587</v>
      </c>
      <c r="L21" s="188">
        <f t="shared" si="1"/>
        <v>72462.31579975826</v>
      </c>
      <c r="M21" s="187" t="s">
        <v>4239</v>
      </c>
      <c r="N21" s="187">
        <f>846-$AD$19</f>
        <v>588</v>
      </c>
      <c r="O21" s="187">
        <v>0</v>
      </c>
      <c r="P21" s="187">
        <v>0</v>
      </c>
      <c r="Q21" s="187">
        <v>0</v>
      </c>
      <c r="R21" s="187">
        <f t="shared" si="2"/>
        <v>19.278688524590162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4366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91" t="s">
        <v>4367</v>
      </c>
      <c r="N22" s="191">
        <f>547-$AD$19</f>
        <v>289</v>
      </c>
      <c r="O22" s="191">
        <v>0</v>
      </c>
      <c r="P22" s="191">
        <v>0</v>
      </c>
      <c r="Q22" s="191">
        <v>0</v>
      </c>
      <c r="R22" s="191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4291</v>
      </c>
      <c r="B23" s="188">
        <f t="shared" si="14"/>
        <v>80544.185232637843</v>
      </c>
      <c r="C23" s="188">
        <f>$S23/(1+($C$1-$O23+$P23)/36500)^$N23</f>
        <v>83380.481545894218</v>
      </c>
      <c r="D23" s="188">
        <f t="shared" si="5"/>
        <v>83741.992600983838</v>
      </c>
      <c r="E23" s="188">
        <f t="shared" si="6"/>
        <v>84105.076033865858</v>
      </c>
      <c r="F23" s="188">
        <f t="shared" si="7"/>
        <v>84469.738705210722</v>
      </c>
      <c r="G23" s="188">
        <f t="shared" si="8"/>
        <v>84835.987505700788</v>
      </c>
      <c r="H23" s="188">
        <f t="shared" si="9"/>
        <v>85203.829356196904</v>
      </c>
      <c r="I23" s="188">
        <f t="shared" si="10"/>
        <v>85573.271207839774</v>
      </c>
      <c r="J23" s="188">
        <f t="shared" si="11"/>
        <v>85944.320042202409</v>
      </c>
      <c r="K23" s="188">
        <f t="shared" si="12"/>
        <v>86316.982871428612</v>
      </c>
      <c r="L23" s="188">
        <f t="shared" si="1"/>
        <v>84105.076033865858</v>
      </c>
      <c r="M23" s="187" t="s">
        <v>4292</v>
      </c>
      <c r="N23" s="187">
        <f>574-$AD$19</f>
        <v>316</v>
      </c>
      <c r="O23" s="187">
        <v>0</v>
      </c>
      <c r="P23" s="187"/>
      <c r="Q23" s="187">
        <v>0</v>
      </c>
      <c r="R23" s="187">
        <f t="shared" si="2"/>
        <v>10.360655737704919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4240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4241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76608.387094321617</v>
      </c>
      <c r="C26" s="188">
        <f t="shared" si="16"/>
        <v>86791.27684456823</v>
      </c>
      <c r="D26" s="188">
        <f t="shared" si="5"/>
        <v>88155.91653347385</v>
      </c>
      <c r="E26" s="188">
        <f t="shared" si="6"/>
        <v>89542.031907794983</v>
      </c>
      <c r="F26" s="188">
        <f t="shared" si="7"/>
        <v>90949.961236987176</v>
      </c>
      <c r="G26" s="188">
        <f t="shared" si="8"/>
        <v>92380.048123502231</v>
      </c>
      <c r="H26" s="188">
        <f t="shared" si="9"/>
        <v>93832.641586874553</v>
      </c>
      <c r="I26" s="188">
        <f t="shared" si="10"/>
        <v>95308.096149068151</v>
      </c>
      <c r="J26" s="188">
        <f t="shared" si="11"/>
        <v>96806.771921588792</v>
      </c>
      <c r="K26" s="188">
        <f t="shared" si="12"/>
        <v>98329.034693387526</v>
      </c>
      <c r="L26" s="188">
        <f t="shared" si="1"/>
        <v>89542.031907794983</v>
      </c>
      <c r="M26" s="187" t="s">
        <v>1004</v>
      </c>
      <c r="N26" s="187">
        <f>1397-$AD$19</f>
        <v>1139</v>
      </c>
      <c r="O26" s="187">
        <v>17</v>
      </c>
      <c r="P26" s="187">
        <f>$AI$2</f>
        <v>0.54</v>
      </c>
      <c r="Q26" s="187">
        <v>6</v>
      </c>
      <c r="R26" s="187">
        <f t="shared" si="2"/>
        <v>37.344262295081968</v>
      </c>
      <c r="S26" s="188">
        <v>100000</v>
      </c>
      <c r="T26" s="188">
        <v>96000</v>
      </c>
      <c r="U26" s="188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94492.054919304806</v>
      </c>
      <c r="C37" s="188">
        <f t="shared" si="16"/>
        <v>100000</v>
      </c>
      <c r="D37" s="188">
        <f t="shared" si="5"/>
        <v>100710.73786634975</v>
      </c>
      <c r="E37" s="188">
        <f t="shared" si="6"/>
        <v>101426.53705614226</v>
      </c>
      <c r="F37" s="188">
        <f t="shared" si="7"/>
        <v>102147.43368228078</v>
      </c>
      <c r="G37" s="188">
        <f t="shared" si="8"/>
        <v>102873.46411580827</v>
      </c>
      <c r="H37" s="188">
        <f t="shared" si="9"/>
        <v>103604.66498782684</v>
      </c>
      <c r="I37" s="188">
        <f t="shared" si="10"/>
        <v>104341.07319128426</v>
      </c>
      <c r="J37" s="188">
        <f t="shared" si="11"/>
        <v>105082.72588289958</v>
      </c>
      <c r="K37" s="188">
        <f t="shared" si="12"/>
        <v>105829.66048502472</v>
      </c>
      <c r="L37" s="188">
        <f t="shared" si="1"/>
        <v>101426.53705614226</v>
      </c>
      <c r="M37" s="187" t="s">
        <v>996</v>
      </c>
      <c r="N37" s="187">
        <f>775-$AD$19</f>
        <v>517</v>
      </c>
      <c r="O37" s="187">
        <v>21</v>
      </c>
      <c r="P37" s="187">
        <v>0</v>
      </c>
      <c r="Q37" s="187">
        <v>1</v>
      </c>
      <c r="R37" s="187">
        <f t="shared" si="2"/>
        <v>16.950819672131146</v>
      </c>
      <c r="S37" s="188">
        <v>100000</v>
      </c>
      <c r="T37" s="188">
        <v>104000</v>
      </c>
      <c r="U37" s="188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1239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11800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3446012.152411575</v>
      </c>
      <c r="C8" s="99">
        <f>B2*B4*B5/(B1*B3)+B7/B6</f>
        <v>292.03492817047243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403987.84758842504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06" t="s">
        <v>1089</v>
      </c>
      <c r="R21" s="206"/>
      <c r="S21" s="206"/>
      <c r="T21" s="206"/>
      <c r="U21" s="96"/>
      <c r="V21" s="96"/>
      <c r="W21" s="96"/>
      <c r="X21" s="96"/>
      <c r="Y21" s="96"/>
      <c r="Z21" s="96"/>
    </row>
    <row r="22" spans="5:35">
      <c r="O22" s="99"/>
      <c r="P22" s="99"/>
      <c r="Q22" s="206"/>
      <c r="R22" s="206"/>
      <c r="S22" s="206"/>
      <c r="T22" s="206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07" t="s">
        <v>1090</v>
      </c>
      <c r="R23" s="208" t="s">
        <v>1091</v>
      </c>
      <c r="S23" s="207" t="s">
        <v>1092</v>
      </c>
      <c r="T23" s="209" t="s">
        <v>1093</v>
      </c>
      <c r="AD23" t="s">
        <v>25</v>
      </c>
    </row>
    <row r="24" spans="5:35">
      <c r="O24" s="99"/>
      <c r="P24" s="99"/>
      <c r="Q24" s="207"/>
      <c r="R24" s="208"/>
      <c r="S24" s="207"/>
      <c r="T24" s="209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3858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3859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3860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3861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3862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3863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3864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3865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3866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3867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3868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3869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3870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3871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3872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3873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3874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3875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3876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3877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3878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4374</v>
      </c>
      <c r="L21" s="33" t="s">
        <v>4376</v>
      </c>
      <c r="M21" s="96" t="s">
        <v>4375</v>
      </c>
      <c r="N21" s="192" t="s">
        <v>4377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4339</v>
      </c>
      <c r="L23">
        <v>9149046982</v>
      </c>
      <c r="M23" t="s">
        <v>4340</v>
      </c>
      <c r="N23" t="s">
        <v>4341</v>
      </c>
      <c r="O23" t="s">
        <v>4342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0"/>
  <sheetViews>
    <sheetView tabSelected="1" topLeftCell="P41" zoomScaleNormal="100" workbookViewId="0">
      <selection activeCell="Y112" sqref="Y112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4.14062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4358</v>
      </c>
      <c r="AT9" s="99" t="s">
        <v>4359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4381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4360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3800000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-7325619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4380</v>
      </c>
      <c r="V19" s="73" t="s">
        <v>4382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4505</v>
      </c>
      <c r="N20" s="113">
        <v>0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S50</f>
        <v>72</v>
      </c>
      <c r="T20" s="169" t="s">
        <v>4320</v>
      </c>
      <c r="U20" s="169">
        <v>192.1</v>
      </c>
      <c r="V20" s="169">
        <f>U20*(1+$N$80+$Q$15*S20/36500)</f>
        <v>204.86175561643836</v>
      </c>
      <c r="W20" s="32">
        <f t="shared" ref="W20:W30" si="4">V20*(1+$W$19/100)</f>
        <v>208.95899072876713</v>
      </c>
      <c r="X20" s="32">
        <f t="shared" ref="X20:X30" si="5">V20*(1+$X$19/100)</f>
        <v>213.05622584109591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243</v>
      </c>
      <c r="AM20" s="113">
        <f>AJ20*AL20</f>
        <v>4374000000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4518</v>
      </c>
      <c r="L21" s="117">
        <f>-N33</f>
        <v>65324880.174049176</v>
      </c>
      <c r="M21" s="169" t="s">
        <v>4312</v>
      </c>
      <c r="N21" s="113">
        <f t="shared" ref="N21:N30" si="6">O21*P21</f>
        <v>11459865</v>
      </c>
      <c r="O21" s="99">
        <v>64745</v>
      </c>
      <c r="P21" s="190">
        <f>P44</f>
        <v>177</v>
      </c>
      <c r="Q21" s="170">
        <v>1450345</v>
      </c>
      <c r="R21" s="169" t="s">
        <v>4316</v>
      </c>
      <c r="S21" s="196">
        <f>S20-36</f>
        <v>36</v>
      </c>
      <c r="T21" s="169" t="s">
        <v>4321</v>
      </c>
      <c r="U21" s="169">
        <v>313.7</v>
      </c>
      <c r="V21" s="169">
        <f>U21*(1+$N$80+$Q$15*S21/36500)</f>
        <v>325.8767167123288</v>
      </c>
      <c r="W21" s="32">
        <f t="shared" si="4"/>
        <v>332.39425104657539</v>
      </c>
      <c r="X21" s="32">
        <f t="shared" si="5"/>
        <v>338.91178538082198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7">AL22+AK21</f>
        <v>242</v>
      </c>
      <c r="AM21" s="113">
        <f t="shared" ref="AM21:AM96" si="8">AJ21*AL21</f>
        <v>605000000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L61</f>
        <v>266036013.17404914</v>
      </c>
      <c r="G22" s="95">
        <f t="shared" si="0"/>
        <v>1938399.5421441495</v>
      </c>
      <c r="H22" s="11"/>
      <c r="I22" s="96"/>
      <c r="J22" s="96"/>
      <c r="K22" s="169" t="s">
        <v>4521</v>
      </c>
      <c r="L22" s="117">
        <f>-'آذر 97'!D46</f>
        <v>-1856049</v>
      </c>
      <c r="M22" s="169" t="s">
        <v>4325</v>
      </c>
      <c r="N22" s="113">
        <f t="shared" si="6"/>
        <v>9642451.2000000011</v>
      </c>
      <c r="O22" s="99">
        <v>33504</v>
      </c>
      <c r="P22" s="190">
        <f>P47</f>
        <v>287.8</v>
      </c>
      <c r="Q22" s="170">
        <v>400069</v>
      </c>
      <c r="R22" s="169" t="s">
        <v>4322</v>
      </c>
      <c r="S22" s="196">
        <f>S21-1</f>
        <v>35</v>
      </c>
      <c r="T22" s="169" t="s">
        <v>4323</v>
      </c>
      <c r="U22" s="169">
        <v>314.8</v>
      </c>
      <c r="V22" s="169">
        <f>U22*(1+$N$80+$Q$15*S22/36500)</f>
        <v>326.7779243835617</v>
      </c>
      <c r="W22" s="32">
        <f t="shared" si="4"/>
        <v>333.31348287123296</v>
      </c>
      <c r="X22" s="32">
        <f t="shared" si="5"/>
        <v>339.84904135890417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7"/>
        <v>241</v>
      </c>
      <c r="AM22" s="113">
        <f t="shared" si="8"/>
        <v>1928000000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1000</v>
      </c>
      <c r="M23" s="169" t="s">
        <v>4477</v>
      </c>
      <c r="N23" s="113">
        <f t="shared" si="6"/>
        <v>195031.2</v>
      </c>
      <c r="O23" s="99">
        <v>399</v>
      </c>
      <c r="P23" s="190">
        <f>P46</f>
        <v>488.8</v>
      </c>
      <c r="Q23" s="170">
        <v>8690518</v>
      </c>
      <c r="R23" s="169" t="s">
        <v>4322</v>
      </c>
      <c r="S23" s="196">
        <f>S22</f>
        <v>35</v>
      </c>
      <c r="T23" s="169" t="s">
        <v>4324</v>
      </c>
      <c r="U23" s="169">
        <v>313</v>
      </c>
      <c r="V23" s="169">
        <f>U23*(1+$N$80+$Q$15*S23/36500)</f>
        <v>324.90943561643843</v>
      </c>
      <c r="W23" s="32">
        <f t="shared" si="4"/>
        <v>331.40762432876721</v>
      </c>
      <c r="X23" s="32">
        <f t="shared" si="5"/>
        <v>337.905813041096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7"/>
        <v>240</v>
      </c>
      <c r="AM23" s="113">
        <f t="shared" si="8"/>
        <v>-19092480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4414</v>
      </c>
      <c r="N24" s="113">
        <f t="shared" si="6"/>
        <v>3684758</v>
      </c>
      <c r="O24" s="99">
        <v>781</v>
      </c>
      <c r="P24" s="99">
        <f>P48</f>
        <v>4718</v>
      </c>
      <c r="Q24" s="170">
        <v>595156</v>
      </c>
      <c r="R24" s="169" t="s">
        <v>4412</v>
      </c>
      <c r="S24" s="197">
        <f>S23-16</f>
        <v>19</v>
      </c>
      <c r="T24" s="169" t="s">
        <v>4415</v>
      </c>
      <c r="U24" s="169">
        <v>5808.5</v>
      </c>
      <c r="V24" s="169">
        <f>U24*(1+$N$80+$Q$15*S24/36500)</f>
        <v>5958.2160767123287</v>
      </c>
      <c r="W24" s="32">
        <f t="shared" si="4"/>
        <v>6077.3803982465752</v>
      </c>
      <c r="X24" s="32">
        <f t="shared" si="5"/>
        <v>6196.5447197808217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7"/>
        <v>239</v>
      </c>
      <c r="AM24" s="113">
        <f t="shared" si="8"/>
        <v>39554500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4445</v>
      </c>
      <c r="N25" s="113">
        <f t="shared" si="6"/>
        <v>133996.1</v>
      </c>
      <c r="O25" s="69">
        <v>749</v>
      </c>
      <c r="P25" s="99">
        <f>P50</f>
        <v>178.9</v>
      </c>
      <c r="Q25" s="170">
        <v>142593</v>
      </c>
      <c r="R25" s="169" t="s">
        <v>4439</v>
      </c>
      <c r="S25" s="169">
        <f>S24-5</f>
        <v>14</v>
      </c>
      <c r="T25" s="169" t="s">
        <v>4448</v>
      </c>
      <c r="U25" s="169">
        <v>189.5</v>
      </c>
      <c r="V25" s="169">
        <f>U25*(1+$N$80+$Q$15*S25/36500)</f>
        <v>193.65757808219183</v>
      </c>
      <c r="W25" s="32">
        <f t="shared" si="4"/>
        <v>197.53072964383568</v>
      </c>
      <c r="X25" s="32">
        <f t="shared" si="5"/>
        <v>201.40388120547951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7"/>
        <v>227</v>
      </c>
      <c r="AM25" s="113">
        <f t="shared" si="8"/>
        <v>-6544484229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/>
      <c r="N26" s="113"/>
      <c r="O26" s="69"/>
      <c r="P26" s="99"/>
      <c r="Q26" s="170">
        <v>1484689</v>
      </c>
      <c r="R26" s="169" t="s">
        <v>4459</v>
      </c>
      <c r="S26" s="169">
        <f>S25-2</f>
        <v>12</v>
      </c>
      <c r="T26" s="19" t="s">
        <v>4463</v>
      </c>
      <c r="U26" s="169">
        <v>5474</v>
      </c>
      <c r="V26" s="169">
        <f>U26*(1+$N$80+$Q$15*S26/36500)</f>
        <v>5585.699594520549</v>
      </c>
      <c r="W26" s="32">
        <f t="shared" si="4"/>
        <v>5697.4135864109603</v>
      </c>
      <c r="X26" s="32">
        <f t="shared" si="5"/>
        <v>5809.1275783013707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7"/>
        <v>221</v>
      </c>
      <c r="AM26" s="113">
        <f t="shared" si="8"/>
        <v>4088500000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4507</v>
      </c>
      <c r="N27" s="113">
        <v>0</v>
      </c>
      <c r="O27" s="69"/>
      <c r="P27" s="99"/>
      <c r="Q27" s="170">
        <v>2197673</v>
      </c>
      <c r="R27" s="169" t="s">
        <v>4459</v>
      </c>
      <c r="S27" s="169">
        <f>S26</f>
        <v>12</v>
      </c>
      <c r="T27" s="19" t="s">
        <v>4464</v>
      </c>
      <c r="U27" s="169">
        <v>5349</v>
      </c>
      <c r="V27" s="169">
        <f>U27*(1+$N$80+$Q$15*S27/36500)</f>
        <v>5458.148909589042</v>
      </c>
      <c r="W27" s="32">
        <f t="shared" si="4"/>
        <v>5567.3118877808229</v>
      </c>
      <c r="X27" s="32">
        <f t="shared" si="5"/>
        <v>5676.4748659726038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7"/>
        <v>220</v>
      </c>
      <c r="AM27" s="113">
        <f t="shared" si="8"/>
        <v>-4081000000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4471</v>
      </c>
      <c r="N28" s="113">
        <f t="shared" si="6"/>
        <v>1001997</v>
      </c>
      <c r="O28" s="69">
        <v>5661</v>
      </c>
      <c r="P28" s="99">
        <f>P44</f>
        <v>177</v>
      </c>
      <c r="Q28" s="170">
        <v>1353959</v>
      </c>
      <c r="R28" s="169" t="s">
        <v>4459</v>
      </c>
      <c r="S28" s="204">
        <f>S27</f>
        <v>12</v>
      </c>
      <c r="T28" s="19" t="s">
        <v>4523</v>
      </c>
      <c r="U28" s="169">
        <v>192.2</v>
      </c>
      <c r="V28" s="169">
        <f>U28*(1+$N$80+$Q$15*S28/36500)</f>
        <v>196.12193315068495</v>
      </c>
      <c r="W28" s="32">
        <f t="shared" si="4"/>
        <v>200.04437181369866</v>
      </c>
      <c r="X28" s="32">
        <f t="shared" si="5"/>
        <v>203.96681047671237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7"/>
        <v>219</v>
      </c>
      <c r="AM28" s="113">
        <f t="shared" si="8"/>
        <v>-14226459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/>
      <c r="L29" s="117"/>
      <c r="M29" s="194" t="s">
        <v>4455</v>
      </c>
      <c r="N29" s="113">
        <f t="shared" si="6"/>
        <v>1636219.4000000001</v>
      </c>
      <c r="O29" s="36">
        <v>9146</v>
      </c>
      <c r="P29" s="99">
        <f>P50</f>
        <v>178.9</v>
      </c>
      <c r="Q29" s="170">
        <v>1799855</v>
      </c>
      <c r="R29" s="169" t="s">
        <v>4468</v>
      </c>
      <c r="S29" s="169">
        <f>S28-3</f>
        <v>9</v>
      </c>
      <c r="T29" s="19" t="s">
        <v>4469</v>
      </c>
      <c r="U29" s="169">
        <v>184.6</v>
      </c>
      <c r="V29" s="169">
        <f>U29*(1+$N$80+$Q$15*S29/36500)</f>
        <v>187.94201863013703</v>
      </c>
      <c r="W29" s="32">
        <f t="shared" si="4"/>
        <v>191.70085900273978</v>
      </c>
      <c r="X29" s="32">
        <f t="shared" si="5"/>
        <v>195.45969937534252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7"/>
        <v>214</v>
      </c>
      <c r="AM29" s="113">
        <f t="shared" si="8"/>
        <v>1369600000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/>
      <c r="L30" s="117"/>
      <c r="M30" s="194" t="s">
        <v>4480</v>
      </c>
      <c r="N30" s="113">
        <f t="shared" si="6"/>
        <v>194542.4</v>
      </c>
      <c r="O30" s="36">
        <v>398</v>
      </c>
      <c r="P30" s="99">
        <f>P46</f>
        <v>488.8</v>
      </c>
      <c r="Q30" s="170">
        <v>146296</v>
      </c>
      <c r="R30" s="169" t="s">
        <v>4475</v>
      </c>
      <c r="S30" s="203">
        <f>S29-2</f>
        <v>7</v>
      </c>
      <c r="T30" s="169" t="s">
        <v>4476</v>
      </c>
      <c r="U30" s="169">
        <v>365</v>
      </c>
      <c r="V30" s="169">
        <f>U30*(1+$N$80+$Q$15*S30/36500)</f>
        <v>371.04800000000006</v>
      </c>
      <c r="W30" s="32">
        <f t="shared" si="4"/>
        <v>378.46896000000004</v>
      </c>
      <c r="X30" s="32">
        <f t="shared" si="5"/>
        <v>385.88992000000007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7"/>
        <v>213</v>
      </c>
      <c r="AM30" s="113">
        <f t="shared" si="8"/>
        <v>-36210000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25</v>
      </c>
      <c r="L31" s="117"/>
      <c r="M31" s="169"/>
      <c r="N31" s="113"/>
      <c r="P31" t="s">
        <v>25</v>
      </c>
      <c r="Q31" s="170"/>
      <c r="R31" s="169"/>
      <c r="S31" s="169"/>
      <c r="T31" s="169"/>
      <c r="U31" s="169"/>
      <c r="V31" s="169"/>
      <c r="W31" s="32"/>
      <c r="X31" s="32"/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208</v>
      </c>
      <c r="AM31" s="113">
        <f t="shared" si="8"/>
        <v>-1310400000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25</v>
      </c>
      <c r="L32" s="117"/>
      <c r="M32" s="169" t="s">
        <v>756</v>
      </c>
      <c r="N32" s="113">
        <v>3000000</v>
      </c>
      <c r="O32" t="s">
        <v>25</v>
      </c>
      <c r="P32" t="s">
        <v>25</v>
      </c>
      <c r="Q32" s="170">
        <f>SUM(N21:N25)-SUM(Q20:Q31)</f>
        <v>-2414038.4999999963</v>
      </c>
      <c r="R32" s="169"/>
      <c r="S32" s="169" t="s">
        <v>25</v>
      </c>
      <c r="T32" s="169"/>
      <c r="U32" s="169"/>
      <c r="V32" s="169"/>
      <c r="W32" s="32"/>
      <c r="X32" s="32"/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7"/>
        <v>207</v>
      </c>
      <c r="AM32" s="113">
        <f t="shared" si="8"/>
        <v>-10767105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918</v>
      </c>
      <c r="L33" s="117">
        <v>4800000</v>
      </c>
      <c r="M33" s="169" t="s">
        <v>4152</v>
      </c>
      <c r="N33" s="113">
        <f>-S86</f>
        <v>-65324880.174049176</v>
      </c>
      <c r="O33" s="96" t="s">
        <v>25</v>
      </c>
      <c r="P33" s="96" t="s">
        <v>25</v>
      </c>
      <c r="R33" s="115"/>
      <c r="S33" s="115"/>
      <c r="T33" s="115"/>
      <c r="U33" s="115"/>
      <c r="V33" s="115"/>
      <c r="W33" s="200"/>
      <c r="X33" s="200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7"/>
        <v>191</v>
      </c>
      <c r="AM33" s="113">
        <f t="shared" si="8"/>
        <v>3823323400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/>
      <c r="L34" s="117"/>
      <c r="M34" s="169" t="s">
        <v>753</v>
      </c>
      <c r="N34" s="113">
        <v>500000</v>
      </c>
      <c r="O34" s="96"/>
      <c r="P34" s="96"/>
      <c r="Q34" s="96"/>
      <c r="R34" s="115"/>
      <c r="S34" s="115"/>
      <c r="T34" s="115"/>
      <c r="U34" s="115"/>
      <c r="V34" s="115"/>
      <c r="W34" s="200"/>
      <c r="X34" s="200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7"/>
        <v>191</v>
      </c>
      <c r="AM34" s="113">
        <f t="shared" si="8"/>
        <v>193763006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4484</v>
      </c>
      <c r="AU34" s="99" t="s">
        <v>4541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9">E34*$L$2+C35-D35</f>
        <v>358188786.24271059</v>
      </c>
      <c r="F35" s="3"/>
      <c r="G35" s="11"/>
      <c r="H35" s="11"/>
      <c r="K35" s="169" t="s">
        <v>1086</v>
      </c>
      <c r="L35" s="117">
        <f>65*P15</f>
        <v>247000000</v>
      </c>
      <c r="M35" s="169" t="s">
        <v>760</v>
      </c>
      <c r="N35" s="113">
        <v>1200000</v>
      </c>
      <c r="O35" t="s">
        <v>25</v>
      </c>
      <c r="P35" t="s">
        <v>25</v>
      </c>
      <c r="Q35" s="169" t="s">
        <v>657</v>
      </c>
      <c r="R35" s="169"/>
      <c r="S35" s="169"/>
      <c r="T35" s="169"/>
      <c r="U35" s="169"/>
      <c r="V35" s="169"/>
      <c r="W35" s="32"/>
      <c r="X35" s="32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7"/>
        <v>179</v>
      </c>
      <c r="AM35" s="113">
        <f t="shared" si="8"/>
        <v>64440000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4534</v>
      </c>
      <c r="AU35" s="99" t="s">
        <v>4540</v>
      </c>
      <c r="AV35" s="170"/>
      <c r="AW35" s="96"/>
      <c r="AX35" s="96"/>
      <c r="AY35" s="96"/>
      <c r="AZ35" s="96"/>
      <c r="BA35" s="96"/>
      <c r="BB35" s="96"/>
    </row>
    <row r="36" spans="1:54" ht="30">
      <c r="A36" s="61">
        <v>98</v>
      </c>
      <c r="B36" s="11">
        <v>34</v>
      </c>
      <c r="C36" s="3">
        <f t="shared" ref="C36:C62" si="10">C35*$K$2</f>
        <v>4498230.5822681794</v>
      </c>
      <c r="D36" s="3">
        <f t="shared" ref="D36:D62" si="11">D35*$K$2</f>
        <v>3654042.1031301799</v>
      </c>
      <c r="E36" s="3">
        <f t="shared" si="9"/>
        <v>366196750.44670284</v>
      </c>
      <c r="F36" s="3"/>
      <c r="G36" s="11"/>
      <c r="H36" s="11"/>
      <c r="K36" s="169" t="s">
        <v>4489</v>
      </c>
      <c r="L36" s="117">
        <v>-50000000</v>
      </c>
      <c r="M36" s="73"/>
      <c r="N36" s="113"/>
      <c r="O36" s="96"/>
      <c r="P36" s="96"/>
      <c r="Q36" s="169" t="s">
        <v>267</v>
      </c>
      <c r="R36" s="169" t="s">
        <v>180</v>
      </c>
      <c r="S36" s="169" t="s">
        <v>183</v>
      </c>
      <c r="T36" s="169" t="s">
        <v>8</v>
      </c>
      <c r="U36" s="169" t="s">
        <v>4380</v>
      </c>
      <c r="V36" s="73" t="s">
        <v>4382</v>
      </c>
      <c r="W36" s="32">
        <v>2</v>
      </c>
      <c r="X36" s="32">
        <v>4</v>
      </c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7"/>
        <v>177</v>
      </c>
      <c r="AM36" s="113">
        <f t="shared" si="8"/>
        <v>-61950000</v>
      </c>
      <c r="AN36" s="99"/>
      <c r="AP36" s="96"/>
      <c r="AQ36" s="183"/>
      <c r="AR36" s="184" t="s">
        <v>4250</v>
      </c>
      <c r="AS36" s="183"/>
      <c r="AT36" s="183"/>
      <c r="AU36" s="183"/>
      <c r="AV36" s="184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0"/>
        <v>4543212.888090861</v>
      </c>
      <c r="D37" s="3">
        <f t="shared" si="11"/>
        <v>3690582.5241614818</v>
      </c>
      <c r="E37" s="3">
        <f t="shared" si="9"/>
        <v>374373315.81956631</v>
      </c>
      <c r="F37" s="3"/>
      <c r="G37" s="11"/>
      <c r="H37" s="11"/>
      <c r="K37" s="169" t="s">
        <v>4336</v>
      </c>
      <c r="L37" s="117">
        <v>-3000000</v>
      </c>
      <c r="M37" s="169" t="s">
        <v>1086</v>
      </c>
      <c r="N37" s="113">
        <f>65*P15</f>
        <v>247000000</v>
      </c>
      <c r="O37" s="96"/>
      <c r="P37" s="96"/>
      <c r="Q37" s="169">
        <v>0</v>
      </c>
      <c r="R37" s="169" t="s">
        <v>4175</v>
      </c>
      <c r="S37" s="169">
        <f>S50</f>
        <v>72</v>
      </c>
      <c r="T37" s="169"/>
      <c r="U37" s="169"/>
      <c r="V37" s="73"/>
      <c r="W37" s="32"/>
      <c r="X37" s="32"/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7"/>
        <v>177</v>
      </c>
      <c r="AM37" s="113">
        <f t="shared" si="8"/>
        <v>177000</v>
      </c>
      <c r="AN37" s="99"/>
      <c r="AP37" s="96"/>
      <c r="AQ37" s="183"/>
      <c r="AR37" s="184" t="s">
        <v>4247</v>
      </c>
      <c r="AS37" s="183">
        <f>SUM(AS31:AS35)</f>
        <v>4622</v>
      </c>
      <c r="AT37" s="183" t="s">
        <v>4484</v>
      </c>
      <c r="AU37" s="183" t="s">
        <v>4266</v>
      </c>
      <c r="AV37" s="184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10"/>
        <v>4588645.0169717697</v>
      </c>
      <c r="D38" s="3">
        <f t="shared" si="11"/>
        <v>3727488.3494030968</v>
      </c>
      <c r="E38" s="46">
        <f t="shared" si="9"/>
        <v>382721938.80352634</v>
      </c>
      <c r="F38" s="3"/>
      <c r="G38" s="11"/>
      <c r="H38" s="11"/>
      <c r="K38" s="169"/>
      <c r="L38" s="117"/>
      <c r="M38" s="169" t="s">
        <v>4487</v>
      </c>
      <c r="N38" s="113">
        <v>-20000000</v>
      </c>
      <c r="O38" s="96"/>
      <c r="P38" s="96"/>
      <c r="Q38" s="170">
        <v>1734776</v>
      </c>
      <c r="R38" s="169" t="s">
        <v>4453</v>
      </c>
      <c r="S38" s="169">
        <f>S37-59</f>
        <v>13</v>
      </c>
      <c r="T38" s="195" t="s">
        <v>4454</v>
      </c>
      <c r="U38" s="169">
        <v>188.8</v>
      </c>
      <c r="V38" s="169">
        <f>U38*(1+$N$80+$Q$15*S38/36500)</f>
        <v>192.79738739726031</v>
      </c>
      <c r="W38" s="32">
        <f>V38*(1+$W$19/100)</f>
        <v>196.65333514520552</v>
      </c>
      <c r="X38" s="32">
        <f>V38*(1+$X$19/100)</f>
        <v>200.50928289315073</v>
      </c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7"/>
        <v>176</v>
      </c>
      <c r="AM38" s="113">
        <f t="shared" si="8"/>
        <v>5915360000</v>
      </c>
      <c r="AN38" s="99"/>
      <c r="AP38" s="96"/>
      <c r="AQ38" s="183"/>
      <c r="AR38" s="184"/>
      <c r="AS38" s="183"/>
      <c r="AT38" s="183"/>
      <c r="AU38" s="183"/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0"/>
        <v>4634531.4671414876</v>
      </c>
      <c r="D39" s="3">
        <f t="shared" si="11"/>
        <v>3764763.232897128</v>
      </c>
      <c r="E39" s="3">
        <f t="shared" si="9"/>
        <v>391246145.81384128</v>
      </c>
      <c r="F39" s="3"/>
      <c r="G39" s="11"/>
      <c r="H39" s="11"/>
      <c r="K39" s="169"/>
      <c r="L39" s="117"/>
      <c r="M39" s="169" t="s">
        <v>4488</v>
      </c>
      <c r="N39" s="113">
        <v>-50000000</v>
      </c>
      <c r="O39" s="96"/>
      <c r="P39" s="96"/>
      <c r="Q39" s="170">
        <v>1049300</v>
      </c>
      <c r="R39" s="169" t="s">
        <v>4468</v>
      </c>
      <c r="S39" s="169">
        <f>S38-4</f>
        <v>9</v>
      </c>
      <c r="T39" s="195" t="s">
        <v>4470</v>
      </c>
      <c r="U39" s="169">
        <v>184.6</v>
      </c>
      <c r="V39" s="169">
        <f>U39*(1+$N$80+$Q$15*S39/36500)</f>
        <v>187.94201863013703</v>
      </c>
      <c r="W39" s="32">
        <f>V39*(1+$W$19/100)</f>
        <v>191.70085900273978</v>
      </c>
      <c r="X39" s="32">
        <f>V39*(1+$X$19/100)</f>
        <v>195.45969937534252</v>
      </c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7"/>
        <v>172</v>
      </c>
      <c r="AM39" s="113">
        <f t="shared" si="8"/>
        <v>-2683200000</v>
      </c>
      <c r="AN39" s="99"/>
      <c r="AP39" s="96"/>
      <c r="AQ39" s="99"/>
      <c r="AR39" s="170"/>
      <c r="AS39" s="99"/>
      <c r="AT39" s="99"/>
      <c r="AU39" s="99"/>
      <c r="AV39" s="170"/>
      <c r="AW39" s="96"/>
      <c r="AX39" s="96"/>
      <c r="AY39" s="96"/>
      <c r="AZ39" s="96"/>
      <c r="BA39" s="96"/>
      <c r="BB39" s="96"/>
    </row>
    <row r="40" spans="1:54" ht="18.75">
      <c r="A40" s="62">
        <v>99</v>
      </c>
      <c r="B40" s="11">
        <v>38</v>
      </c>
      <c r="C40" s="44">
        <f t="shared" si="10"/>
        <v>4680876.7818129025</v>
      </c>
      <c r="D40" s="3">
        <f t="shared" si="11"/>
        <v>3802410.8652260993</v>
      </c>
      <c r="E40" s="3">
        <f t="shared" si="9"/>
        <v>399949534.64670491</v>
      </c>
      <c r="F40" s="3"/>
      <c r="G40" s="11"/>
      <c r="H40" s="11"/>
      <c r="K40" s="99" t="s">
        <v>4435</v>
      </c>
      <c r="L40" s="117">
        <v>3000000</v>
      </c>
      <c r="M40" s="169"/>
      <c r="N40" s="113"/>
      <c r="O40" s="96"/>
      <c r="P40" s="96"/>
      <c r="Q40" s="170">
        <v>145929</v>
      </c>
      <c r="R40" s="169" t="s">
        <v>4475</v>
      </c>
      <c r="S40" s="203">
        <f>S39-2</f>
        <v>7</v>
      </c>
      <c r="T40" s="194" t="s">
        <v>4479</v>
      </c>
      <c r="U40" s="169">
        <v>365</v>
      </c>
      <c r="V40" s="169">
        <f>U40*(1+$N$80+$Q$15*S40/36500)</f>
        <v>371.04800000000006</v>
      </c>
      <c r="W40" s="32">
        <f>V40*(1+$W$19/100)</f>
        <v>378.46896000000004</v>
      </c>
      <c r="X40" s="32">
        <f>V40*(1+$X$19/100)</f>
        <v>385.88992000000007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7"/>
        <v>169</v>
      </c>
      <c r="AM40" s="113">
        <f t="shared" si="8"/>
        <v>1267500000</v>
      </c>
      <c r="AN40" s="99"/>
      <c r="AP40" s="96"/>
      <c r="AQ40" s="99"/>
      <c r="AR40" s="170"/>
      <c r="AS40" s="99"/>
      <c r="AT40" s="180"/>
      <c r="AU40" s="99"/>
      <c r="AV40" s="170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10"/>
        <v>4727685.5496310312</v>
      </c>
      <c r="D41" s="3">
        <f t="shared" si="11"/>
        <v>3840434.9738783604</v>
      </c>
      <c r="E41" s="3">
        <f t="shared" si="9"/>
        <v>408835775.91539168</v>
      </c>
      <c r="F41" s="3"/>
      <c r="G41" s="11"/>
      <c r="H41" s="11"/>
      <c r="K41" s="99"/>
      <c r="L41" s="117"/>
      <c r="M41" s="169" t="s">
        <v>4506</v>
      </c>
      <c r="N41" s="113">
        <v>3908238</v>
      </c>
      <c r="Q41" s="170"/>
      <c r="R41" s="169"/>
      <c r="S41" s="26"/>
      <c r="T41" s="26"/>
      <c r="U41" s="169"/>
      <c r="V41" s="169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7"/>
        <v>165</v>
      </c>
      <c r="AM41" s="113">
        <f t="shared" si="8"/>
        <v>-16170000</v>
      </c>
      <c r="AN41" s="99"/>
      <c r="AP41" s="96"/>
      <c r="AQ41" s="99"/>
      <c r="AR41" s="99"/>
      <c r="AS41" s="99"/>
      <c r="AT41" s="99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0"/>
        <v>4774962.4051273419</v>
      </c>
      <c r="D42" s="3">
        <f t="shared" si="11"/>
        <v>3878839.323617144</v>
      </c>
      <c r="E42" s="3">
        <f t="shared" si="9"/>
        <v>417908614.51520973</v>
      </c>
      <c r="F42" s="3"/>
      <c r="G42" s="11"/>
      <c r="H42" s="11"/>
      <c r="K42" s="56" t="s">
        <v>4473</v>
      </c>
      <c r="L42" s="117">
        <v>-1000000</v>
      </c>
      <c r="M42" s="169"/>
      <c r="N42" s="113"/>
      <c r="O42" s="99"/>
      <c r="P42" s="99"/>
      <c r="Q42" s="113">
        <f>SUM(N28:N30)-SUM(Q37:Q40)</f>
        <v>-97246.199999999721</v>
      </c>
      <c r="R42" s="169"/>
      <c r="S42" s="169"/>
      <c r="T42" s="169"/>
      <c r="U42" s="169"/>
      <c r="V42" s="169"/>
      <c r="W42" s="32"/>
      <c r="X42" s="32"/>
      <c r="Y42" s="115"/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7"/>
        <v>164</v>
      </c>
      <c r="AM42" s="113">
        <f t="shared" si="8"/>
        <v>-4264000000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0"/>
        <v>4822712.0291786157</v>
      </c>
      <c r="D43" s="3">
        <f t="shared" si="11"/>
        <v>3917627.7168533155</v>
      </c>
      <c r="E43" s="3">
        <f t="shared" si="9"/>
        <v>427171871.11783922</v>
      </c>
      <c r="F43" s="3"/>
      <c r="G43" s="11"/>
      <c r="H43" s="11"/>
      <c r="K43" s="56" t="s">
        <v>4490</v>
      </c>
      <c r="L43" s="117">
        <v>145929</v>
      </c>
      <c r="M43" s="32" t="s">
        <v>4410</v>
      </c>
      <c r="N43" s="113">
        <f t="shared" ref="N43:N51" si="12">O43*P43</f>
        <v>2051493.5999999999</v>
      </c>
      <c r="O43" s="99">
        <v>611</v>
      </c>
      <c r="P43" s="99">
        <v>3357.6</v>
      </c>
      <c r="R43" s="115"/>
      <c r="S43" s="115"/>
      <c r="T43" s="115" t="s">
        <v>25</v>
      </c>
      <c r="U43" s="115"/>
      <c r="V43" s="115"/>
      <c r="W43" s="200"/>
      <c r="X43" s="200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7"/>
        <v>164</v>
      </c>
      <c r="AM43" s="113">
        <f t="shared" si="8"/>
        <v>4100000000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0"/>
        <v>4870939.1494704019</v>
      </c>
      <c r="D44" s="3">
        <f t="shared" si="11"/>
        <v>3956803.9940218488</v>
      </c>
      <c r="E44" s="3">
        <f t="shared" si="9"/>
        <v>436629443.69564456</v>
      </c>
      <c r="F44" s="3"/>
      <c r="G44" s="11"/>
      <c r="H44" s="11"/>
      <c r="K44" s="56"/>
      <c r="L44" s="117"/>
      <c r="M44" s="169" t="s">
        <v>4182</v>
      </c>
      <c r="N44" s="113">
        <f t="shared" si="12"/>
        <v>191168850</v>
      </c>
      <c r="O44" s="99">
        <v>1080050</v>
      </c>
      <c r="P44" s="99">
        <v>177</v>
      </c>
      <c r="Q44" t="s">
        <v>25</v>
      </c>
      <c r="S44" s="26" t="s">
        <v>25</v>
      </c>
      <c r="T44" t="s">
        <v>25</v>
      </c>
      <c r="U44" s="96" t="s">
        <v>25</v>
      </c>
      <c r="V44" s="115" t="s">
        <v>25</v>
      </c>
      <c r="W44" s="200"/>
      <c r="X44" s="200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7"/>
        <v>163</v>
      </c>
      <c r="AM44" s="113">
        <f t="shared" si="8"/>
        <v>17930000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0"/>
        <v>4919648.5409651063</v>
      </c>
      <c r="D45" s="3">
        <f t="shared" si="11"/>
        <v>3996372.0339620672</v>
      </c>
      <c r="E45" s="3">
        <f t="shared" si="9"/>
        <v>446285309.07656044</v>
      </c>
      <c r="F45" s="3"/>
      <c r="G45" s="11"/>
      <c r="H45" s="11"/>
      <c r="K45" s="56"/>
      <c r="L45" s="117"/>
      <c r="M45" s="169" t="s">
        <v>4532</v>
      </c>
      <c r="N45" s="113">
        <f t="shared" si="12"/>
        <v>818094</v>
      </c>
      <c r="O45" s="99">
        <v>4622</v>
      </c>
      <c r="P45" s="99">
        <f>P44</f>
        <v>177</v>
      </c>
      <c r="T45" t="s">
        <v>25</v>
      </c>
      <c r="W45" s="200"/>
      <c r="X45" s="200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7"/>
        <v>162</v>
      </c>
      <c r="AM45" s="113">
        <f t="shared" si="8"/>
        <v>61560000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0"/>
        <v>4968845.0263747573</v>
      </c>
      <c r="D46" s="3">
        <f t="shared" si="11"/>
        <v>4036335.7543016877</v>
      </c>
      <c r="E46" s="3">
        <f t="shared" si="9"/>
        <v>456143524.53016472</v>
      </c>
      <c r="F46" s="3"/>
      <c r="G46" s="11"/>
      <c r="H46" s="11"/>
      <c r="K46" s="56"/>
      <c r="L46" s="117"/>
      <c r="M46" s="169" t="s">
        <v>4478</v>
      </c>
      <c r="N46" s="113">
        <f t="shared" si="12"/>
        <v>194542.4</v>
      </c>
      <c r="O46" s="99">
        <v>398</v>
      </c>
      <c r="P46" s="99">
        <v>488.8</v>
      </c>
      <c r="T46" t="s">
        <v>25</v>
      </c>
      <c r="U46" s="96" t="s">
        <v>25</v>
      </c>
      <c r="W46" s="200"/>
      <c r="X46" s="200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7"/>
        <v>155</v>
      </c>
      <c r="AM46" s="113">
        <f t="shared" si="8"/>
        <v>69750000</v>
      </c>
      <c r="AN46" s="99"/>
      <c r="AQ46" s="96"/>
      <c r="AR46" s="96"/>
      <c r="AS46" s="96"/>
    </row>
    <row r="47" spans="1:54">
      <c r="A47" s="62">
        <v>99</v>
      </c>
      <c r="B47" s="11">
        <v>45</v>
      </c>
      <c r="C47" s="50">
        <f t="shared" si="10"/>
        <v>5018533.4766385052</v>
      </c>
      <c r="D47" s="3">
        <f t="shared" si="11"/>
        <v>4076699.1118447045</v>
      </c>
      <c r="E47" s="3">
        <f t="shared" si="9"/>
        <v>466208229.38556182</v>
      </c>
      <c r="F47" s="3"/>
      <c r="G47" s="11"/>
      <c r="H47" s="11"/>
      <c r="K47" s="99"/>
      <c r="L47" s="117"/>
      <c r="M47" s="169" t="s">
        <v>4307</v>
      </c>
      <c r="N47" s="113">
        <f t="shared" si="12"/>
        <v>8446066.5999999996</v>
      </c>
      <c r="O47" s="69">
        <v>29347</v>
      </c>
      <c r="P47" s="69">
        <v>287.8</v>
      </c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7"/>
        <v>149</v>
      </c>
      <c r="AM47" s="113">
        <f t="shared" si="8"/>
        <v>417200000</v>
      </c>
      <c r="AN47" s="99"/>
      <c r="AQ47" s="96"/>
      <c r="AR47" s="96"/>
      <c r="AS47" s="96"/>
    </row>
    <row r="48" spans="1:54" ht="30">
      <c r="A48" s="64">
        <v>99</v>
      </c>
      <c r="B48" s="64">
        <v>46</v>
      </c>
      <c r="C48" s="65">
        <f t="shared" si="10"/>
        <v>5068718.8114048904</v>
      </c>
      <c r="D48" s="65">
        <f t="shared" si="11"/>
        <v>4117466.1029631514</v>
      </c>
      <c r="E48" s="65">
        <f t="shared" si="9"/>
        <v>476483646.68171477</v>
      </c>
      <c r="F48" s="3"/>
      <c r="G48" s="11"/>
      <c r="H48" s="11" t="s">
        <v>611</v>
      </c>
      <c r="K48" s="99" t="s">
        <v>4547</v>
      </c>
      <c r="L48" s="117">
        <v>597051</v>
      </c>
      <c r="M48" s="169" t="s">
        <v>4414</v>
      </c>
      <c r="N48" s="113">
        <f t="shared" si="12"/>
        <v>3618706</v>
      </c>
      <c r="O48" s="69">
        <v>767</v>
      </c>
      <c r="P48" s="69">
        <v>4718</v>
      </c>
      <c r="Q48" s="73" t="s">
        <v>4306</v>
      </c>
      <c r="R48" s="112"/>
      <c r="S48" s="112"/>
      <c r="T48" s="112"/>
      <c r="U48" s="169" t="s">
        <v>4380</v>
      </c>
      <c r="V48" s="36" t="s">
        <v>4382</v>
      </c>
      <c r="W48" s="32"/>
      <c r="X48" s="32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7"/>
        <v>148</v>
      </c>
      <c r="AM48" s="113">
        <f t="shared" si="8"/>
        <v>-222000000</v>
      </c>
      <c r="AN48" s="99"/>
    </row>
    <row r="49" spans="1:40">
      <c r="A49" s="62">
        <v>99</v>
      </c>
      <c r="B49" s="11">
        <v>47</v>
      </c>
      <c r="C49" s="3">
        <f t="shared" si="10"/>
        <v>5119405.9995189393</v>
      </c>
      <c r="D49" s="3">
        <f t="shared" si="11"/>
        <v>4158640.7639927831</v>
      </c>
      <c r="E49" s="3">
        <f t="shared" si="9"/>
        <v>486974084.8508752</v>
      </c>
      <c r="F49" s="3"/>
      <c r="G49" s="11"/>
      <c r="H49" s="11"/>
      <c r="K49" s="99"/>
      <c r="L49" s="117"/>
      <c r="M49" s="169" t="s">
        <v>4430</v>
      </c>
      <c r="N49" s="117">
        <f t="shared" si="12"/>
        <v>4656398.3999999994</v>
      </c>
      <c r="O49" s="69">
        <v>10431</v>
      </c>
      <c r="P49" s="69">
        <v>446.4</v>
      </c>
      <c r="Q49" s="112" t="s">
        <v>267</v>
      </c>
      <c r="R49" s="112" t="s">
        <v>180</v>
      </c>
      <c r="S49" s="112" t="s">
        <v>183</v>
      </c>
      <c r="T49" s="112" t="s">
        <v>8</v>
      </c>
      <c r="U49" s="169"/>
      <c r="V49" s="99"/>
      <c r="W49" s="32">
        <v>2</v>
      </c>
      <c r="X49" s="32">
        <v>4</v>
      </c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148</v>
      </c>
      <c r="AM49" s="113">
        <f t="shared" si="8"/>
        <v>451400000</v>
      </c>
      <c r="AN49" s="99"/>
    </row>
    <row r="50" spans="1:40">
      <c r="A50" s="62">
        <v>99</v>
      </c>
      <c r="B50" s="11">
        <v>48</v>
      </c>
      <c r="C50" s="51">
        <f t="shared" si="10"/>
        <v>5170600.0595141286</v>
      </c>
      <c r="D50" s="51">
        <f t="shared" si="11"/>
        <v>4200227.1716327108</v>
      </c>
      <c r="E50" s="52">
        <f t="shared" si="9"/>
        <v>497683939.43577409</v>
      </c>
      <c r="F50" s="51"/>
      <c r="G50" s="11"/>
      <c r="H50" s="11"/>
      <c r="K50" s="99"/>
      <c r="L50" s="117"/>
      <c r="M50" s="73" t="s">
        <v>4445</v>
      </c>
      <c r="N50" s="117">
        <f t="shared" si="12"/>
        <v>2339475.3000000003</v>
      </c>
      <c r="O50" s="69">
        <v>13077</v>
      </c>
      <c r="P50" s="69">
        <v>178.9</v>
      </c>
      <c r="Q50" s="170">
        <v>184971545</v>
      </c>
      <c r="R50" s="169" t="s">
        <v>4175</v>
      </c>
      <c r="S50" s="196">
        <v>72</v>
      </c>
      <c r="T50" s="169" t="s">
        <v>4363</v>
      </c>
      <c r="U50" s="169">
        <v>192</v>
      </c>
      <c r="V50" s="99">
        <f>U50*(1+$N$80+$Q$15*S50/36500)</f>
        <v>204.75511232876713</v>
      </c>
      <c r="W50" s="32">
        <f t="shared" ref="W50:W73" si="13">V50*(1+$W$19/100)</f>
        <v>208.85021457534248</v>
      </c>
      <c r="X50" s="32">
        <f t="shared" ref="X50:X73" si="14">V50*(1+$X$19/100)</f>
        <v>212.94531682191783</v>
      </c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7"/>
        <v>145</v>
      </c>
      <c r="AM50" s="113">
        <f t="shared" si="8"/>
        <v>-1203443740</v>
      </c>
      <c r="AN50" s="99"/>
    </row>
    <row r="51" spans="1:40">
      <c r="A51" s="63">
        <v>1400</v>
      </c>
      <c r="B51" s="11">
        <v>49</v>
      </c>
      <c r="C51" s="44">
        <f t="shared" si="10"/>
        <v>5222306.0601092698</v>
      </c>
      <c r="D51" s="3">
        <f t="shared" si="11"/>
        <v>4242229.4433490383</v>
      </c>
      <c r="E51" s="3">
        <f t="shared" si="9"/>
        <v>508617694.84124976</v>
      </c>
      <c r="F51" s="3"/>
      <c r="G51" s="11"/>
      <c r="H51" s="11"/>
      <c r="K51" s="99"/>
      <c r="L51" s="117"/>
      <c r="M51" s="73" t="s">
        <v>1086</v>
      </c>
      <c r="N51" s="117">
        <f t="shared" si="12"/>
        <v>3950000</v>
      </c>
      <c r="O51" s="69">
        <v>10</v>
      </c>
      <c r="P51" s="69">
        <v>395000</v>
      </c>
      <c r="Q51" s="170">
        <v>883646</v>
      </c>
      <c r="R51" s="169" t="s">
        <v>4264</v>
      </c>
      <c r="S51" s="196">
        <f>S50-21</f>
        <v>51</v>
      </c>
      <c r="T51" s="169" t="s">
        <v>4542</v>
      </c>
      <c r="U51" s="169">
        <v>190.3</v>
      </c>
      <c r="V51" s="99">
        <f>U51*(1+$N$80+$Q$15*S51/36500)</f>
        <v>199.87652164383564</v>
      </c>
      <c r="W51" s="32">
        <f t="shared" si="13"/>
        <v>203.87405207671236</v>
      </c>
      <c r="X51" s="32">
        <f t="shared" si="14"/>
        <v>207.87158250958908</v>
      </c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7"/>
        <v>143</v>
      </c>
      <c r="AM51" s="113">
        <f t="shared" si="8"/>
        <v>715000000</v>
      </c>
      <c r="AN51" s="99"/>
    </row>
    <row r="52" spans="1:40">
      <c r="A52" s="63">
        <v>1400</v>
      </c>
      <c r="B52" s="11">
        <v>50</v>
      </c>
      <c r="C52" s="44">
        <f t="shared" si="10"/>
        <v>5274529.1207103627</v>
      </c>
      <c r="D52" s="3">
        <f t="shared" si="11"/>
        <v>4284651.7377825286</v>
      </c>
      <c r="E52" s="3">
        <f t="shared" si="9"/>
        <v>519779926.12100261</v>
      </c>
      <c r="F52" s="3"/>
      <c r="G52" s="11"/>
      <c r="H52" s="11"/>
      <c r="K52" s="99"/>
      <c r="L52" s="117"/>
      <c r="M52" s="169" t="s">
        <v>1154</v>
      </c>
      <c r="N52" s="117">
        <v>14908</v>
      </c>
      <c r="O52" s="96" t="s">
        <v>25</v>
      </c>
      <c r="P52" t="s">
        <v>25</v>
      </c>
      <c r="Q52" s="170">
        <v>9560464</v>
      </c>
      <c r="R52" s="169" t="s">
        <v>4310</v>
      </c>
      <c r="S52" s="196">
        <f>S51-11</f>
        <v>40</v>
      </c>
      <c r="T52" s="169" t="s">
        <v>4327</v>
      </c>
      <c r="U52" s="169">
        <v>214.57</v>
      </c>
      <c r="V52" s="99">
        <f>U52*(1+$N$80+$Q$15*S52/36500)</f>
        <v>223.55724975342468</v>
      </c>
      <c r="W52" s="32">
        <f t="shared" si="13"/>
        <v>228.02839474849318</v>
      </c>
      <c r="X52" s="32">
        <f t="shared" si="14"/>
        <v>232.49953974356168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7"/>
        <v>129</v>
      </c>
      <c r="AM52" s="113">
        <f t="shared" si="8"/>
        <v>-11610000</v>
      </c>
      <c r="AN52" s="99"/>
    </row>
    <row r="53" spans="1:40">
      <c r="A53" s="63">
        <v>1400</v>
      </c>
      <c r="B53" s="11">
        <v>51</v>
      </c>
      <c r="C53" s="44">
        <f t="shared" si="10"/>
        <v>5327274.4119174667</v>
      </c>
      <c r="D53" s="3">
        <f t="shared" si="11"/>
        <v>4327498.2551603541</v>
      </c>
      <c r="E53" s="3">
        <f t="shared" si="9"/>
        <v>531175300.80017978</v>
      </c>
      <c r="F53" s="3"/>
      <c r="G53" s="11"/>
      <c r="H53" s="11"/>
      <c r="K53" s="99"/>
      <c r="L53" s="99"/>
      <c r="M53" s="169" t="s">
        <v>1155</v>
      </c>
      <c r="N53" s="117">
        <v>5282</v>
      </c>
      <c r="O53" s="96"/>
      <c r="Q53" s="170">
        <v>2000000</v>
      </c>
      <c r="R53" s="169" t="s">
        <v>4358</v>
      </c>
      <c r="S53" s="169">
        <f>S52-11</f>
        <v>29</v>
      </c>
      <c r="T53" s="169" t="s">
        <v>4362</v>
      </c>
      <c r="U53" s="169">
        <v>206.8</v>
      </c>
      <c r="V53" s="99">
        <f>U53*(1+$N$80+$Q$15*S53/36500)</f>
        <v>213.71675178082194</v>
      </c>
      <c r="W53" s="32">
        <f t="shared" si="13"/>
        <v>217.99108681643838</v>
      </c>
      <c r="X53" s="32">
        <f t="shared" si="14"/>
        <v>222.26542185205483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7"/>
        <v>128</v>
      </c>
      <c r="AM53" s="113">
        <f t="shared" si="8"/>
        <v>716800000</v>
      </c>
      <c r="AN53" s="99"/>
    </row>
    <row r="54" spans="1:40">
      <c r="A54" s="63">
        <v>1400</v>
      </c>
      <c r="B54" s="11">
        <v>52</v>
      </c>
      <c r="C54" s="49">
        <f t="shared" si="10"/>
        <v>5380547.1560366414</v>
      </c>
      <c r="D54" s="3">
        <f t="shared" si="11"/>
        <v>4370773.2377119577</v>
      </c>
      <c r="E54" s="3">
        <f t="shared" si="9"/>
        <v>542808580.73450804</v>
      </c>
      <c r="F54" s="3"/>
      <c r="G54" s="11"/>
      <c r="H54" s="11"/>
      <c r="K54" s="169"/>
      <c r="L54" s="117"/>
      <c r="M54" s="169"/>
      <c r="N54" s="113"/>
      <c r="O54" s="115"/>
      <c r="P54" s="115"/>
      <c r="Q54" s="170">
        <v>1457531</v>
      </c>
      <c r="R54" s="169" t="s">
        <v>4393</v>
      </c>
      <c r="S54" s="196">
        <f>S53-6</f>
        <v>23</v>
      </c>
      <c r="T54" s="169" t="s">
        <v>4394</v>
      </c>
      <c r="U54" s="169">
        <v>310</v>
      </c>
      <c r="V54" s="99">
        <f>U54*(1+$N$80+$Q$15*S54/36500)</f>
        <v>318.94158904109594</v>
      </c>
      <c r="W54" s="32">
        <f t="shared" si="13"/>
        <v>325.32042082191788</v>
      </c>
      <c r="X54" s="32">
        <f t="shared" si="14"/>
        <v>331.69925260273976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7"/>
        <v>124</v>
      </c>
      <c r="AM54" s="113">
        <f t="shared" si="8"/>
        <v>93000000</v>
      </c>
      <c r="AN54" s="99"/>
    </row>
    <row r="55" spans="1:40">
      <c r="A55" s="63">
        <v>1400</v>
      </c>
      <c r="B55" s="11">
        <v>53</v>
      </c>
      <c r="C55" s="49">
        <f t="shared" si="10"/>
        <v>5434352.6275970079</v>
      </c>
      <c r="D55" s="3">
        <f t="shared" si="11"/>
        <v>4414480.970089077</v>
      </c>
      <c r="E55" s="3">
        <f t="shared" si="9"/>
        <v>554684624.00670612</v>
      </c>
      <c r="F55" s="3"/>
      <c r="G55" s="11"/>
      <c r="H55" s="11"/>
      <c r="K55" s="169" t="s">
        <v>25</v>
      </c>
      <c r="L55" s="117"/>
      <c r="M55" s="169" t="s">
        <v>4183</v>
      </c>
      <c r="N55" s="113">
        <f>-O55*P55</f>
        <v>-14650821</v>
      </c>
      <c r="O55" s="99">
        <v>82773</v>
      </c>
      <c r="P55" s="99">
        <f>P44</f>
        <v>177</v>
      </c>
      <c r="Q55" s="170">
        <v>1429825</v>
      </c>
      <c r="R55" s="169" t="s">
        <v>4389</v>
      </c>
      <c r="S55" s="169">
        <f>S54-1</f>
        <v>22</v>
      </c>
      <c r="T55" s="169" t="s">
        <v>4399</v>
      </c>
      <c r="U55" s="169">
        <v>203.9</v>
      </c>
      <c r="V55" s="99">
        <f>U55*(1+$N$80+$Q$15*S55/36500)</f>
        <v>209.62484164383565</v>
      </c>
      <c r="W55" s="32">
        <f t="shared" si="13"/>
        <v>213.81733847671237</v>
      </c>
      <c r="X55" s="32">
        <f t="shared" si="14"/>
        <v>218.00983530958908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7"/>
        <v>122</v>
      </c>
      <c r="AM55" s="171">
        <f t="shared" si="8"/>
        <v>-517524000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0"/>
        <v>5488696.1538729779</v>
      </c>
      <c r="D56" s="3">
        <f t="shared" si="11"/>
        <v>4458625.7797899675</v>
      </c>
      <c r="E56" s="3">
        <f t="shared" si="9"/>
        <v>566808386.86092329</v>
      </c>
      <c r="F56" s="3"/>
      <c r="G56" s="11"/>
      <c r="H56" s="11"/>
      <c r="K56" s="169"/>
      <c r="L56" s="117"/>
      <c r="M56" s="169"/>
      <c r="N56" s="113"/>
      <c r="Q56" s="170">
        <v>1420747</v>
      </c>
      <c r="R56" s="169" t="s">
        <v>4389</v>
      </c>
      <c r="S56" s="169">
        <f>S55</f>
        <v>22</v>
      </c>
      <c r="T56" s="169" t="s">
        <v>4401</v>
      </c>
      <c r="U56" s="169">
        <v>203.1</v>
      </c>
      <c r="V56" s="99">
        <f>U56*(1+$N$80+$Q$15*S56/36500)</f>
        <v>208.80238027397263</v>
      </c>
      <c r="W56" s="32">
        <f t="shared" si="13"/>
        <v>212.97842787945208</v>
      </c>
      <c r="X56" s="32">
        <f t="shared" si="14"/>
        <v>217.15447548493154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7"/>
        <v>120</v>
      </c>
      <c r="AM56" s="113">
        <f t="shared" si="8"/>
        <v>492000000</v>
      </c>
      <c r="AN56" s="99"/>
    </row>
    <row r="57" spans="1:40">
      <c r="A57" s="63">
        <v>1400</v>
      </c>
      <c r="B57" s="11">
        <v>55</v>
      </c>
      <c r="C57" s="50">
        <f t="shared" si="10"/>
        <v>5543583.1154117081</v>
      </c>
      <c r="D57" s="3">
        <f t="shared" si="11"/>
        <v>4503212.0375878671</v>
      </c>
      <c r="E57" s="3">
        <f t="shared" si="9"/>
        <v>579184925.67596567</v>
      </c>
      <c r="F57" s="3"/>
      <c r="G57" s="11"/>
      <c r="H57" s="11"/>
      <c r="K57" s="169"/>
      <c r="L57" s="117"/>
      <c r="M57" s="169" t="s">
        <v>4472</v>
      </c>
      <c r="N57" s="113">
        <f>-S87</f>
        <v>-2318072.9900089782</v>
      </c>
      <c r="Q57" s="170">
        <v>2864946</v>
      </c>
      <c r="R57" s="169" t="s">
        <v>4389</v>
      </c>
      <c r="S57" s="198">
        <f>S56</f>
        <v>22</v>
      </c>
      <c r="T57" s="169" t="s">
        <v>4403</v>
      </c>
      <c r="U57" s="169">
        <v>303.60000000000002</v>
      </c>
      <c r="V57" s="99">
        <f>U57*(1+$N$80+$Q$15*S57/36500)</f>
        <v>312.12408986301375</v>
      </c>
      <c r="W57" s="32">
        <f t="shared" si="13"/>
        <v>318.36657166027402</v>
      </c>
      <c r="X57" s="32">
        <f t="shared" si="14"/>
        <v>324.60905345753429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7"/>
        <v>120</v>
      </c>
      <c r="AM57" s="113">
        <f t="shared" si="8"/>
        <v>492000000</v>
      </c>
      <c r="AN57" s="99"/>
    </row>
    <row r="58" spans="1:40">
      <c r="A58" s="63">
        <v>1400</v>
      </c>
      <c r="B58" s="11">
        <v>56</v>
      </c>
      <c r="C58" s="50">
        <f t="shared" si="10"/>
        <v>5599018.9465658255</v>
      </c>
      <c r="D58" s="3">
        <f t="shared" si="11"/>
        <v>4548244.1579637462</v>
      </c>
      <c r="E58" s="3">
        <f t="shared" si="9"/>
        <v>591819398.97808707</v>
      </c>
      <c r="F58" s="3"/>
      <c r="G58" s="11"/>
      <c r="H58" s="11"/>
      <c r="K58" s="169"/>
      <c r="L58" s="117"/>
      <c r="M58" s="169" t="s">
        <v>4492</v>
      </c>
      <c r="N58" s="113">
        <f>-S88</f>
        <v>-3105030.3199149081</v>
      </c>
      <c r="Q58" s="170">
        <v>2412371</v>
      </c>
      <c r="R58" s="169" t="s">
        <v>4391</v>
      </c>
      <c r="S58" s="169">
        <f>S57-1</f>
        <v>21</v>
      </c>
      <c r="T58" s="169" t="s">
        <v>4409</v>
      </c>
      <c r="U58" s="169">
        <v>3930</v>
      </c>
      <c r="V58" s="99">
        <f>U58*(1+$N$80+$Q$15*S58/36500)</f>
        <v>4037.3266849315069</v>
      </c>
      <c r="W58" s="32">
        <f t="shared" si="13"/>
        <v>4118.0732186301375</v>
      </c>
      <c r="X58" s="32">
        <f t="shared" si="14"/>
        <v>4198.8197523287672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7"/>
        <v>119</v>
      </c>
      <c r="AM58" s="113">
        <f t="shared" si="8"/>
        <v>94010000</v>
      </c>
      <c r="AN58" s="99"/>
    </row>
    <row r="59" spans="1:40">
      <c r="A59" s="63">
        <v>1400</v>
      </c>
      <c r="B59" s="11">
        <v>57</v>
      </c>
      <c r="C59" s="50">
        <f t="shared" si="10"/>
        <v>5655009.1360314842</v>
      </c>
      <c r="D59" s="3">
        <f t="shared" si="11"/>
        <v>4593726.5995433833</v>
      </c>
      <c r="E59" s="3">
        <f t="shared" si="9"/>
        <v>604717069.49413705</v>
      </c>
      <c r="F59" s="3"/>
      <c r="G59" s="11"/>
      <c r="H59" s="11"/>
      <c r="K59" s="169"/>
      <c r="L59" s="117"/>
      <c r="M59" s="169"/>
      <c r="N59" s="113"/>
      <c r="Q59" s="170">
        <v>2010885</v>
      </c>
      <c r="R59" s="169" t="s">
        <v>4412</v>
      </c>
      <c r="S59" s="169">
        <f>S58-2</f>
        <v>19</v>
      </c>
      <c r="T59" s="169" t="s">
        <v>4418</v>
      </c>
      <c r="U59" s="169">
        <v>202.1</v>
      </c>
      <c r="V59" s="99">
        <f>U59*(1+$N$80+$Q$15*S59/36500)</f>
        <v>207.30919671232877</v>
      </c>
      <c r="W59" s="32">
        <f t="shared" si="13"/>
        <v>211.45538064657535</v>
      </c>
      <c r="X59" s="32">
        <f t="shared" si="14"/>
        <v>215.60156458082193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7"/>
        <v>104</v>
      </c>
      <c r="AM59" s="173">
        <f t="shared" si="8"/>
        <v>-401960000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0"/>
        <v>5711559.227391799</v>
      </c>
      <c r="D60" s="3">
        <f t="shared" si="11"/>
        <v>4639663.8655388169</v>
      </c>
      <c r="E60" s="3">
        <f t="shared" si="9"/>
        <v>617883306.24587286</v>
      </c>
      <c r="F60" s="3"/>
      <c r="G60" s="11"/>
      <c r="H60" s="11"/>
      <c r="K60" s="169"/>
      <c r="L60" s="117"/>
      <c r="M60" s="169"/>
      <c r="N60" s="113"/>
      <c r="Q60" s="170">
        <v>1994038</v>
      </c>
      <c r="R60" s="169" t="s">
        <v>4423</v>
      </c>
      <c r="S60" s="169">
        <f>S59-3</f>
        <v>16</v>
      </c>
      <c r="T60" s="169" t="s">
        <v>4442</v>
      </c>
      <c r="U60" s="169">
        <v>5560.3</v>
      </c>
      <c r="V60" s="99">
        <f>U60*(1+$N$80+$Q$15*S60/36500)</f>
        <v>5690.8223298630137</v>
      </c>
      <c r="W60" s="32">
        <f t="shared" si="13"/>
        <v>5804.6387764602741</v>
      </c>
      <c r="X60" s="32">
        <f t="shared" si="14"/>
        <v>5918.4552230575346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7"/>
        <v>98</v>
      </c>
      <c r="AM60" s="113">
        <f t="shared" si="8"/>
        <v>1842400000</v>
      </c>
      <c r="AN60" s="20"/>
    </row>
    <row r="61" spans="1:40">
      <c r="A61" s="63">
        <v>1400</v>
      </c>
      <c r="B61" s="11">
        <v>59</v>
      </c>
      <c r="C61" s="3">
        <f t="shared" si="10"/>
        <v>5768674.819665717</v>
      </c>
      <c r="D61" s="3">
        <f t="shared" si="11"/>
        <v>4686060.5041942047</v>
      </c>
      <c r="E61" s="3">
        <f t="shared" si="9"/>
        <v>631323586.68626177</v>
      </c>
      <c r="F61" s="3"/>
      <c r="G61" s="11"/>
      <c r="H61" s="11"/>
      <c r="K61" s="169" t="s">
        <v>598</v>
      </c>
      <c r="L61" s="113">
        <f>SUM(L16:L48)</f>
        <v>266036013.17404914</v>
      </c>
      <c r="M61" s="169"/>
      <c r="N61" s="113">
        <f>SUM(N16:N57)</f>
        <v>341250521.43594187</v>
      </c>
      <c r="Q61" s="170">
        <v>4629290</v>
      </c>
      <c r="R61" s="169" t="s">
        <v>4423</v>
      </c>
      <c r="S61" s="198">
        <f>S60</f>
        <v>16</v>
      </c>
      <c r="T61" s="169" t="s">
        <v>4431</v>
      </c>
      <c r="U61" s="169">
        <v>441.8</v>
      </c>
      <c r="V61" s="99">
        <f>U61*(1+$N$80+$Q$15*S61/36500)</f>
        <v>452.17080109589045</v>
      </c>
      <c r="W61" s="32">
        <f t="shared" si="13"/>
        <v>461.21421711780829</v>
      </c>
      <c r="X61" s="32">
        <f t="shared" si="14"/>
        <v>470.25763313972607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7"/>
        <v>95</v>
      </c>
      <c r="AM61" s="113">
        <f t="shared" si="8"/>
        <v>47500000</v>
      </c>
      <c r="AN61" s="20"/>
    </row>
    <row r="62" spans="1:40">
      <c r="A62" s="63">
        <v>1400</v>
      </c>
      <c r="B62" s="11">
        <v>60</v>
      </c>
      <c r="C62" s="3">
        <f t="shared" si="10"/>
        <v>5826361.5678623738</v>
      </c>
      <c r="D62" s="3">
        <f t="shared" si="11"/>
        <v>4732921.1092361463</v>
      </c>
      <c r="E62" s="46">
        <f t="shared" si="9"/>
        <v>645043498.87861323</v>
      </c>
      <c r="F62" s="3"/>
      <c r="G62" s="11"/>
      <c r="H62" s="11"/>
      <c r="K62" s="169" t="s">
        <v>599</v>
      </c>
      <c r="L62" s="113">
        <f>L16+L17+L23</f>
        <v>24202</v>
      </c>
      <c r="M62" s="169"/>
      <c r="N62" s="113">
        <f>N16+N17+N34</f>
        <v>-6812314</v>
      </c>
      <c r="Q62" s="170">
        <v>4489908</v>
      </c>
      <c r="R62" s="169" t="s">
        <v>4423</v>
      </c>
      <c r="S62" s="169">
        <f>S61</f>
        <v>16</v>
      </c>
      <c r="T62" s="169" t="s">
        <v>4429</v>
      </c>
      <c r="U62" s="169">
        <v>292.60000000000002</v>
      </c>
      <c r="V62" s="99">
        <f>U62*(1+$N$80+$Q$15*S62/36500)</f>
        <v>299.4684843835617</v>
      </c>
      <c r="W62" s="32">
        <f t="shared" si="13"/>
        <v>305.45785407123293</v>
      </c>
      <c r="X62" s="32">
        <f t="shared" si="14"/>
        <v>311.44722375890416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94</v>
      </c>
      <c r="AM62" s="113">
        <f t="shared" si="8"/>
        <v>18800000</v>
      </c>
      <c r="AN62" s="20"/>
    </row>
    <row r="63" spans="1:40">
      <c r="E63" s="26"/>
      <c r="K63" s="56" t="s">
        <v>716</v>
      </c>
      <c r="L63" s="1">
        <f>L61+N7</f>
        <v>336036013.17404914</v>
      </c>
      <c r="M63" s="113"/>
      <c r="N63" s="169"/>
      <c r="O63" s="115"/>
      <c r="P63" s="115"/>
      <c r="Q63" s="170">
        <v>1971103</v>
      </c>
      <c r="R63" s="169" t="s">
        <v>4437</v>
      </c>
      <c r="S63" s="169">
        <f>S62-1</f>
        <v>15</v>
      </c>
      <c r="T63" s="169" t="s">
        <v>4438</v>
      </c>
      <c r="U63" s="169">
        <v>196.2</v>
      </c>
      <c r="V63" s="99">
        <f>U63*(1+$N$80+$Q$15*S63/36500)</f>
        <v>200.65508383561644</v>
      </c>
      <c r="W63" s="32">
        <f t="shared" si="13"/>
        <v>204.66818551232876</v>
      </c>
      <c r="X63" s="32">
        <f t="shared" si="14"/>
        <v>208.68128718904111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7"/>
        <v>91</v>
      </c>
      <c r="AM63" s="113">
        <f t="shared" si="8"/>
        <v>91000000</v>
      </c>
      <c r="AN63" s="20"/>
    </row>
    <row r="64" spans="1:40">
      <c r="E64" s="26"/>
      <c r="O64" s="96"/>
      <c r="P64" s="96"/>
      <c r="Q64" s="170">
        <v>1000913</v>
      </c>
      <c r="R64" s="169" t="s">
        <v>4439</v>
      </c>
      <c r="S64" s="169">
        <f>S63-1</f>
        <v>14</v>
      </c>
      <c r="T64" s="169" t="s">
        <v>4444</v>
      </c>
      <c r="U64" s="169">
        <v>191.3</v>
      </c>
      <c r="V64" s="99">
        <f>U64*(1+$N$80+$Q$15*S64/36500)</f>
        <v>195.49706958904116</v>
      </c>
      <c r="W64" s="32">
        <f t="shared" si="13"/>
        <v>199.40701098082198</v>
      </c>
      <c r="X64" s="32">
        <f t="shared" si="14"/>
        <v>203.31695237260283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88</v>
      </c>
      <c r="AM64" s="113">
        <f t="shared" si="8"/>
        <v>114400000</v>
      </c>
      <c r="AN64" s="20"/>
    </row>
    <row r="65" spans="1:40">
      <c r="M65" s="25"/>
      <c r="O65" t="s">
        <v>25</v>
      </c>
      <c r="Q65" s="170">
        <v>157443</v>
      </c>
      <c r="R65" s="169" t="s">
        <v>4439</v>
      </c>
      <c r="S65" s="169">
        <f>S64</f>
        <v>14</v>
      </c>
      <c r="T65" s="169" t="s">
        <v>4456</v>
      </c>
      <c r="U65" s="169">
        <v>189.5</v>
      </c>
      <c r="V65" s="99">
        <f>U65*(1+$N$80+$Q$15*S65/36500)</f>
        <v>193.65757808219183</v>
      </c>
      <c r="W65" s="32">
        <f t="shared" si="13"/>
        <v>197.53072964383568</v>
      </c>
      <c r="X65" s="32">
        <f t="shared" si="14"/>
        <v>201.40388120547951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96" si="15">AL66+AK65</f>
        <v>88</v>
      </c>
      <c r="AM65" s="113">
        <f t="shared" si="8"/>
        <v>87560000</v>
      </c>
      <c r="AN65" s="20"/>
    </row>
    <row r="66" spans="1:40">
      <c r="M66" s="25" t="s">
        <v>4083</v>
      </c>
      <c r="P66" t="s">
        <v>25</v>
      </c>
      <c r="Q66" s="170">
        <v>1330173</v>
      </c>
      <c r="R66" s="169" t="s">
        <v>4459</v>
      </c>
      <c r="S66" s="169">
        <f>S65-2</f>
        <v>12</v>
      </c>
      <c r="T66" s="169" t="s">
        <v>4460</v>
      </c>
      <c r="U66" s="169">
        <v>188.1</v>
      </c>
      <c r="V66" s="99">
        <f>U66*(1+$N$80+$Q$15*S66/36500)</f>
        <v>191.93827068493152</v>
      </c>
      <c r="W66" s="32">
        <f t="shared" si="13"/>
        <v>195.77703609863016</v>
      </c>
      <c r="X66" s="32">
        <f t="shared" si="14"/>
        <v>199.6158015123288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15"/>
        <v>86</v>
      </c>
      <c r="AM66" s="113">
        <f t="shared" si="8"/>
        <v>1118000000</v>
      </c>
      <c r="AN66" s="20"/>
    </row>
    <row r="67" spans="1:40">
      <c r="A67" t="s">
        <v>25</v>
      </c>
      <c r="F67" t="s">
        <v>310</v>
      </c>
      <c r="G67" t="s">
        <v>4102</v>
      </c>
      <c r="M67" s="178"/>
      <c r="O67" s="22"/>
      <c r="Q67" s="170">
        <v>1049856</v>
      </c>
      <c r="R67" s="169" t="s">
        <v>4468</v>
      </c>
      <c r="S67" s="204">
        <f>S66-3</f>
        <v>9</v>
      </c>
      <c r="T67" s="169" t="s">
        <v>4524</v>
      </c>
      <c r="U67" s="169">
        <v>184.5</v>
      </c>
      <c r="V67" s="99">
        <f>U67*(1+$N$80+$Q$15*S67/36500)</f>
        <v>187.84020821917812</v>
      </c>
      <c r="W67" s="32">
        <f t="shared" si="13"/>
        <v>191.59701238356169</v>
      </c>
      <c r="X67" s="32">
        <f t="shared" si="14"/>
        <v>195.35381654794526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15"/>
        <v>84</v>
      </c>
      <c r="AM67" s="113">
        <f t="shared" si="8"/>
        <v>-260400000</v>
      </c>
      <c r="AN67" s="20"/>
    </row>
    <row r="68" spans="1:40">
      <c r="F68" t="s">
        <v>4106</v>
      </c>
      <c r="G68" t="s">
        <v>4101</v>
      </c>
      <c r="M68" s="122"/>
      <c r="O68" t="s">
        <v>25</v>
      </c>
      <c r="P68" t="s">
        <v>25</v>
      </c>
      <c r="Q68" s="170">
        <v>1783234</v>
      </c>
      <c r="R68" s="169" t="s">
        <v>4475</v>
      </c>
      <c r="S68" s="169">
        <f>S67-2</f>
        <v>7</v>
      </c>
      <c r="T68" s="169" t="s">
        <v>4481</v>
      </c>
      <c r="U68" s="169">
        <v>177.5</v>
      </c>
      <c r="V68" s="99">
        <f>U68*(1+$N$80+$Q$15*S68/36500)</f>
        <v>180.44115068493153</v>
      </c>
      <c r="W68" s="32">
        <f t="shared" si="13"/>
        <v>184.04997369863017</v>
      </c>
      <c r="X68" s="32">
        <f t="shared" si="14"/>
        <v>187.65879671232881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15"/>
        <v>81</v>
      </c>
      <c r="AM68" s="113">
        <f t="shared" si="8"/>
        <v>3696840000</v>
      </c>
      <c r="AN68" s="20"/>
    </row>
    <row r="69" spans="1:40">
      <c r="F69" t="s">
        <v>4107</v>
      </c>
      <c r="G69" t="s">
        <v>4103</v>
      </c>
      <c r="M69" s="122" t="s">
        <v>4432</v>
      </c>
      <c r="O69" s="114"/>
      <c r="Q69" s="170">
        <v>1904396</v>
      </c>
      <c r="R69" s="169" t="s">
        <v>4475</v>
      </c>
      <c r="S69" s="203">
        <f>S68</f>
        <v>7</v>
      </c>
      <c r="T69" s="169" t="s">
        <v>4486</v>
      </c>
      <c r="U69" s="169">
        <v>4861</v>
      </c>
      <c r="V69" s="99">
        <f>U69*(1+$N$80+$Q$15*S69/36500)</f>
        <v>4941.5461041095896</v>
      </c>
      <c r="W69" s="32">
        <f t="shared" si="13"/>
        <v>5040.3770261917816</v>
      </c>
      <c r="X69" s="32">
        <f t="shared" si="14"/>
        <v>5139.2079482739737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15"/>
        <v>80</v>
      </c>
      <c r="AM69" s="113">
        <f t="shared" si="8"/>
        <v>2680000000</v>
      </c>
      <c r="AN69" s="20"/>
    </row>
    <row r="70" spans="1:40">
      <c r="G70" t="s">
        <v>4104</v>
      </c>
      <c r="M70" s="122" t="s">
        <v>4491</v>
      </c>
      <c r="N70" s="96"/>
      <c r="Q70" s="170">
        <v>145929</v>
      </c>
      <c r="R70" s="169" t="s">
        <v>4475</v>
      </c>
      <c r="S70" s="203">
        <f>S69</f>
        <v>7</v>
      </c>
      <c r="T70" s="169" t="s">
        <v>4479</v>
      </c>
      <c r="U70" s="169">
        <v>365</v>
      </c>
      <c r="V70" s="99">
        <f>U70*(1+$N$80+$Q$15*S70/36500)</f>
        <v>371.04800000000006</v>
      </c>
      <c r="W70" s="32">
        <f t="shared" si="13"/>
        <v>378.46896000000004</v>
      </c>
      <c r="X70" s="32">
        <f t="shared" si="14"/>
        <v>385.88992000000007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15"/>
        <v>79</v>
      </c>
      <c r="AM70" s="117">
        <f t="shared" si="8"/>
        <v>948000000</v>
      </c>
      <c r="AN70" s="20"/>
    </row>
    <row r="71" spans="1:40">
      <c r="G71" t="s">
        <v>4105</v>
      </c>
      <c r="M71" s="96"/>
      <c r="N71" s="96"/>
      <c r="P71" t="s">
        <v>25</v>
      </c>
      <c r="Q71" s="170">
        <v>1826179</v>
      </c>
      <c r="R71" s="169" t="s">
        <v>4484</v>
      </c>
      <c r="S71" s="203">
        <f>S70-5</f>
        <v>2</v>
      </c>
      <c r="T71" s="73" t="s">
        <v>4533</v>
      </c>
      <c r="U71" s="169">
        <v>190.3</v>
      </c>
      <c r="V71" s="99">
        <f>U71*(1+$N$80+$Q$15*S71/36500)</f>
        <v>192.7233271232877</v>
      </c>
      <c r="W71" s="32">
        <f t="shared" si="13"/>
        <v>196.57779366575346</v>
      </c>
      <c r="X71" s="32">
        <f t="shared" si="14"/>
        <v>200.43226020821922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15"/>
        <v>78</v>
      </c>
      <c r="AM71" s="117">
        <f t="shared" si="8"/>
        <v>1209000000</v>
      </c>
      <c r="AN71" s="20"/>
    </row>
    <row r="72" spans="1:40">
      <c r="G72" t="s">
        <v>4109</v>
      </c>
      <c r="M72" s="96"/>
      <c r="N72" s="96"/>
      <c r="P72" s="115"/>
      <c r="Q72" s="170">
        <v>1049976</v>
      </c>
      <c r="R72" s="169" t="s">
        <v>4484</v>
      </c>
      <c r="S72" s="203">
        <f>S71</f>
        <v>2</v>
      </c>
      <c r="T72" s="73" t="s">
        <v>4543</v>
      </c>
      <c r="U72" s="169">
        <v>190.3</v>
      </c>
      <c r="V72" s="99">
        <f>U72*(1+$N$80+$Q$15*S72/36500)</f>
        <v>192.7233271232877</v>
      </c>
      <c r="W72" s="32">
        <f t="shared" si="13"/>
        <v>196.57779366575346</v>
      </c>
      <c r="X72" s="32">
        <f t="shared" si="14"/>
        <v>200.43226020821922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15"/>
        <v>74</v>
      </c>
      <c r="AM72" s="117">
        <f t="shared" si="8"/>
        <v>11100000</v>
      </c>
      <c r="AN72" s="20"/>
    </row>
    <row r="73" spans="1:40">
      <c r="G73" t="s">
        <v>4108</v>
      </c>
      <c r="M73" s="96"/>
      <c r="N73" s="96"/>
      <c r="P73" s="115" t="s">
        <v>25</v>
      </c>
      <c r="Q73" s="170">
        <v>3969956</v>
      </c>
      <c r="R73" s="169" t="s">
        <v>4544</v>
      </c>
      <c r="S73" s="169">
        <f>S72-2</f>
        <v>0</v>
      </c>
      <c r="T73" s="73" t="s">
        <v>4545</v>
      </c>
      <c r="U73" s="169">
        <v>396500</v>
      </c>
      <c r="V73" s="99">
        <f>U73*(1+$N$80+$Q$15*S73/36500)</f>
        <v>400940.80000000005</v>
      </c>
      <c r="W73" s="32">
        <f t="shared" si="13"/>
        <v>408959.61600000004</v>
      </c>
      <c r="X73" s="32">
        <f t="shared" si="14"/>
        <v>416978.43200000009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15"/>
        <v>73</v>
      </c>
      <c r="AM73" s="182">
        <f t="shared" si="8"/>
        <v>2117000000</v>
      </c>
      <c r="AN73" s="181" t="s">
        <v>4189</v>
      </c>
    </row>
    <row r="74" spans="1:40">
      <c r="M74" s="96">
        <f>O44+O45+O21+O28-O55</f>
        <v>1072305</v>
      </c>
      <c r="N74" s="113">
        <f>M74*P44</f>
        <v>189797985</v>
      </c>
      <c r="O74" t="s">
        <v>25</v>
      </c>
      <c r="P74" s="115"/>
      <c r="Q74" s="170"/>
      <c r="R74" s="169"/>
      <c r="S74" s="169"/>
      <c r="T74" s="169"/>
      <c r="U74" s="169"/>
      <c r="V74" s="99"/>
      <c r="W74" s="32"/>
      <c r="X74" s="32"/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15"/>
        <v>58</v>
      </c>
      <c r="AM74" s="117">
        <f t="shared" si="8"/>
        <v>-7540000</v>
      </c>
      <c r="AN74" s="20" t="s">
        <v>4215</v>
      </c>
    </row>
    <row r="75" spans="1:40">
      <c r="M75" t="s">
        <v>4278</v>
      </c>
      <c r="N75" t="s">
        <v>4275</v>
      </c>
      <c r="P75" s="115"/>
      <c r="Q75" s="113">
        <f>SUM(N43:N51)-SUM(Q50:Q74)</f>
        <v>-19070727.699999988</v>
      </c>
      <c r="R75" s="112"/>
      <c r="S75" s="112"/>
      <c r="T75" s="112"/>
      <c r="U75" s="169"/>
      <c r="V75" s="99" t="s">
        <v>25</v>
      </c>
      <c r="W75" s="32"/>
      <c r="X75" s="32"/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15"/>
        <v>51</v>
      </c>
      <c r="AM75" s="117">
        <f>AJ75*AL75</f>
        <v>11832000</v>
      </c>
      <c r="AN75" s="20" t="s">
        <v>4270</v>
      </c>
    </row>
    <row r="76" spans="1:40">
      <c r="D76" s="3"/>
      <c r="E76" s="11" t="s">
        <v>304</v>
      </c>
      <c r="N76" t="s">
        <v>25</v>
      </c>
      <c r="P76" s="115"/>
      <c r="Q76" s="26"/>
      <c r="R76" s="185"/>
      <c r="S76" s="185"/>
      <c r="T76" t="s">
        <v>25</v>
      </c>
      <c r="U76" s="96" t="s">
        <v>25</v>
      </c>
      <c r="V76" s="96" t="s">
        <v>25</v>
      </c>
      <c r="AH76" s="20">
        <v>56</v>
      </c>
      <c r="AI76" s="117" t="s">
        <v>4280</v>
      </c>
      <c r="AJ76" s="117">
        <v>-170000</v>
      </c>
      <c r="AK76" s="20">
        <v>3</v>
      </c>
      <c r="AL76" s="99">
        <f t="shared" si="15"/>
        <v>49</v>
      </c>
      <c r="AM76" s="117">
        <f t="shared" si="8"/>
        <v>-8330000</v>
      </c>
      <c r="AN76" s="20"/>
    </row>
    <row r="77" spans="1:40">
      <c r="D77" s="1" t="s">
        <v>305</v>
      </c>
      <c r="E77" s="1">
        <v>70000</v>
      </c>
      <c r="P77" s="115"/>
      <c r="R77" t="s">
        <v>25</v>
      </c>
      <c r="T77" t="s">
        <v>25</v>
      </c>
      <c r="U77" s="96" t="s">
        <v>25</v>
      </c>
      <c r="V77" s="96" t="s">
        <v>25</v>
      </c>
      <c r="W77" s="96" t="s">
        <v>25</v>
      </c>
      <c r="AH77" s="20">
        <v>57</v>
      </c>
      <c r="AI77" s="117" t="s">
        <v>4294</v>
      </c>
      <c r="AJ77" s="117">
        <v>-300000</v>
      </c>
      <c r="AK77" s="20">
        <v>3</v>
      </c>
      <c r="AL77" s="99">
        <f t="shared" si="15"/>
        <v>46</v>
      </c>
      <c r="AM77" s="117">
        <f t="shared" si="8"/>
        <v>-13800000</v>
      </c>
      <c r="AN77" s="20"/>
    </row>
    <row r="78" spans="1:40">
      <c r="D78" s="1" t="s">
        <v>321</v>
      </c>
      <c r="E78" s="1">
        <v>100000</v>
      </c>
      <c r="M78" t="s">
        <v>949</v>
      </c>
      <c r="N78">
        <v>6.3E-3</v>
      </c>
      <c r="P78" s="115"/>
      <c r="Q78" t="s">
        <v>25</v>
      </c>
      <c r="R78" t="s">
        <v>25</v>
      </c>
      <c r="T78" t="s">
        <v>25</v>
      </c>
      <c r="U78" s="96" t="s">
        <v>25</v>
      </c>
      <c r="AD78" s="115"/>
      <c r="AE78" s="115"/>
      <c r="AH78" s="20">
        <v>58</v>
      </c>
      <c r="AI78" s="117" t="s">
        <v>4303</v>
      </c>
      <c r="AJ78" s="117">
        <v>-11400000</v>
      </c>
      <c r="AK78" s="20">
        <v>13</v>
      </c>
      <c r="AL78" s="99">
        <f>AL79+AK78</f>
        <v>43</v>
      </c>
      <c r="AM78" s="117">
        <f t="shared" si="8"/>
        <v>-490200000</v>
      </c>
      <c r="AN78" s="20"/>
    </row>
    <row r="79" spans="1:40">
      <c r="D79" s="1" t="s">
        <v>306</v>
      </c>
      <c r="E79" s="1">
        <v>80000</v>
      </c>
      <c r="M79" t="s">
        <v>61</v>
      </c>
      <c r="N79">
        <v>4.8999999999999998E-3</v>
      </c>
      <c r="P79" s="115"/>
      <c r="Q79" t="s">
        <v>25</v>
      </c>
      <c r="S79" t="s">
        <v>25</v>
      </c>
      <c r="T79" t="s">
        <v>25</v>
      </c>
      <c r="U79" s="96" t="s">
        <v>25</v>
      </c>
      <c r="AC79" s="115"/>
      <c r="AD79" s="115"/>
      <c r="AE79" s="115"/>
      <c r="AF79"/>
      <c r="AH79" s="20">
        <v>59</v>
      </c>
      <c r="AI79" s="117" t="s">
        <v>4364</v>
      </c>
      <c r="AJ79" s="117">
        <v>-10000000</v>
      </c>
      <c r="AK79" s="20">
        <v>1</v>
      </c>
      <c r="AL79" s="99">
        <f>AL80+AK79</f>
        <v>30</v>
      </c>
      <c r="AM79" s="117">
        <f>AJ79*AL79</f>
        <v>-300000000</v>
      </c>
      <c r="AN79" s="20"/>
    </row>
    <row r="80" spans="1:40">
      <c r="D80" s="31" t="s">
        <v>307</v>
      </c>
      <c r="E80" s="1">
        <v>150000</v>
      </c>
      <c r="M80" t="s">
        <v>6</v>
      </c>
      <c r="N80">
        <f>N78+N79</f>
        <v>1.12E-2</v>
      </c>
      <c r="P80" s="115"/>
      <c r="V80" s="96"/>
      <c r="W80"/>
      <c r="AC80" s="115"/>
      <c r="AD80" s="115"/>
      <c r="AE80" s="115"/>
      <c r="AF80"/>
      <c r="AH80" s="20">
        <v>60</v>
      </c>
      <c r="AI80" s="117" t="s">
        <v>4365</v>
      </c>
      <c r="AJ80" s="117">
        <v>-2450000</v>
      </c>
      <c r="AK80" s="20">
        <v>5</v>
      </c>
      <c r="AL80" s="99">
        <f>AL81+AK80</f>
        <v>29</v>
      </c>
      <c r="AM80" s="117">
        <f>AJ80*AL80</f>
        <v>-71050000</v>
      </c>
      <c r="AN80" s="20"/>
    </row>
    <row r="81" spans="4:52">
      <c r="D81" s="31" t="s">
        <v>308</v>
      </c>
      <c r="E81" s="1">
        <v>300000</v>
      </c>
      <c r="O81" t="s">
        <v>25</v>
      </c>
      <c r="P81" t="s">
        <v>25</v>
      </c>
      <c r="V81" s="96"/>
      <c r="W81"/>
      <c r="AD81" s="115"/>
      <c r="AE81" s="115"/>
      <c r="AF81" s="115"/>
      <c r="AH81" s="20">
        <v>61</v>
      </c>
      <c r="AI81" s="117" t="s">
        <v>4389</v>
      </c>
      <c r="AJ81" s="117">
        <v>-456081</v>
      </c>
      <c r="AK81" s="20">
        <v>1</v>
      </c>
      <c r="AL81" s="99">
        <f t="shared" si="15"/>
        <v>24</v>
      </c>
      <c r="AM81" s="117">
        <f t="shared" si="8"/>
        <v>-10945944</v>
      </c>
      <c r="AN81" s="20"/>
      <c r="AS81" s="96"/>
      <c r="AU81"/>
    </row>
    <row r="82" spans="4:52">
      <c r="D82" s="31" t="s">
        <v>309</v>
      </c>
      <c r="E82" s="1">
        <v>100000</v>
      </c>
      <c r="Q82" s="99" t="s">
        <v>4510</v>
      </c>
      <c r="R82" s="99" t="s">
        <v>4512</v>
      </c>
      <c r="S82" s="99"/>
      <c r="T82" s="99" t="s">
        <v>4513</v>
      </c>
      <c r="U82" s="99"/>
      <c r="V82" s="99"/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4391</v>
      </c>
      <c r="AJ82" s="117">
        <v>-500000</v>
      </c>
      <c r="AK82" s="20">
        <v>2</v>
      </c>
      <c r="AL82" s="99">
        <f>AL83+AK82</f>
        <v>23</v>
      </c>
      <c r="AM82" s="117">
        <f t="shared" si="8"/>
        <v>-11500000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Q83" s="113">
        <v>1000</v>
      </c>
      <c r="R83" s="99">
        <v>0.25</v>
      </c>
      <c r="S83" s="99"/>
      <c r="T83" s="99">
        <f>1-R83</f>
        <v>0.75</v>
      </c>
      <c r="U83" s="99"/>
      <c r="V83" s="99"/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4412</v>
      </c>
      <c r="AJ83" s="117">
        <v>-6234370</v>
      </c>
      <c r="AK83" s="20">
        <v>3</v>
      </c>
      <c r="AL83" s="99">
        <f t="shared" si="15"/>
        <v>21</v>
      </c>
      <c r="AM83" s="117">
        <f t="shared" si="8"/>
        <v>-130921770</v>
      </c>
      <c r="AN83" s="20"/>
    </row>
    <row r="84" spans="4:52">
      <c r="D84" s="18" t="s">
        <v>311</v>
      </c>
      <c r="E84" s="18">
        <v>300000</v>
      </c>
      <c r="Q84" s="169" t="s">
        <v>4496</v>
      </c>
      <c r="R84" s="169" t="s">
        <v>4515</v>
      </c>
      <c r="S84" s="169" t="s">
        <v>4517</v>
      </c>
      <c r="T84" s="169" t="s">
        <v>180</v>
      </c>
      <c r="U84" s="169" t="s">
        <v>4511</v>
      </c>
      <c r="V84" s="56" t="s">
        <v>4514</v>
      </c>
      <c r="X84" s="115"/>
      <c r="Y84" s="128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4423</v>
      </c>
      <c r="AJ84" s="117">
        <v>1950957</v>
      </c>
      <c r="AK84" s="20">
        <v>4</v>
      </c>
      <c r="AL84" s="99">
        <f t="shared" si="15"/>
        <v>18</v>
      </c>
      <c r="AM84" s="117">
        <f t="shared" si="8"/>
        <v>35117226</v>
      </c>
      <c r="AN84" s="20"/>
      <c r="AQ84" t="s">
        <v>25</v>
      </c>
      <c r="AR84" t="s">
        <v>25</v>
      </c>
      <c r="AZ84" t="s">
        <v>25</v>
      </c>
    </row>
    <row r="85" spans="4:52">
      <c r="D85" s="32" t="s">
        <v>312</v>
      </c>
      <c r="E85" s="1">
        <v>200000</v>
      </c>
      <c r="M85" s="199" t="s">
        <v>4474</v>
      </c>
      <c r="P85" t="s">
        <v>25</v>
      </c>
      <c r="Q85" s="169" t="s">
        <v>751</v>
      </c>
      <c r="R85" s="56">
        <v>720930</v>
      </c>
      <c r="S85" s="113">
        <f>R85*$T$111</f>
        <v>178353080.11602697</v>
      </c>
      <c r="T85" s="169" t="s">
        <v>4509</v>
      </c>
      <c r="U85" s="169">
        <f>$Q$83*$T$83*S85/$R$109</f>
        <v>536.99012021006968</v>
      </c>
      <c r="V85" s="95">
        <f>S85+U85</f>
        <v>178353617.10614717</v>
      </c>
      <c r="X85" s="163"/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4459</v>
      </c>
      <c r="AJ85" s="117">
        <v>600000</v>
      </c>
      <c r="AK85" s="20">
        <v>5</v>
      </c>
      <c r="AL85" s="99">
        <f t="shared" si="15"/>
        <v>14</v>
      </c>
      <c r="AM85" s="117">
        <f t="shared" si="8"/>
        <v>8400000</v>
      </c>
      <c r="AN85" s="20"/>
    </row>
    <row r="86" spans="4:52">
      <c r="D86" s="32" t="s">
        <v>313</v>
      </c>
      <c r="E86" s="1">
        <v>20000</v>
      </c>
      <c r="Q86" s="169" t="s">
        <v>4498</v>
      </c>
      <c r="R86" s="56">
        <v>264053</v>
      </c>
      <c r="S86" s="113">
        <f>R86*$T$111</f>
        <v>65324880.174049176</v>
      </c>
      <c r="T86" s="169" t="s">
        <v>4509</v>
      </c>
      <c r="U86" s="169">
        <f>$Q$83*$T$83*S86/$R$109+Q83*R83</f>
        <v>446.68185844926631</v>
      </c>
      <c r="V86" s="95">
        <f>S86+U86</f>
        <v>65325326.855907626</v>
      </c>
      <c r="X86" s="115"/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4475</v>
      </c>
      <c r="AJ86" s="117">
        <v>7500000</v>
      </c>
      <c r="AK86" s="20">
        <v>2</v>
      </c>
      <c r="AL86" s="99">
        <f t="shared" si="15"/>
        <v>9</v>
      </c>
      <c r="AM86" s="117">
        <f t="shared" si="8"/>
        <v>67500000</v>
      </c>
      <c r="AN86" s="20"/>
    </row>
    <row r="87" spans="4:52">
      <c r="D87" s="32" t="s">
        <v>315</v>
      </c>
      <c r="E87" s="1">
        <v>50000</v>
      </c>
      <c r="Q87" s="169" t="s">
        <v>1087</v>
      </c>
      <c r="R87" s="56">
        <v>9370</v>
      </c>
      <c r="S87" s="113">
        <f>R87*$T$111</f>
        <v>2318072.9900089782</v>
      </c>
      <c r="T87" s="169" t="s">
        <v>4509</v>
      </c>
      <c r="U87" s="169">
        <f>$Q$83*$T$83*S87/$R$109</f>
        <v>6.9793148105479768</v>
      </c>
      <c r="V87" s="95">
        <f>S87+U87</f>
        <v>2318079.9693237888</v>
      </c>
      <c r="X87" s="115"/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4485</v>
      </c>
      <c r="AJ87" s="117">
        <v>-587816</v>
      </c>
      <c r="AK87" s="20">
        <v>3</v>
      </c>
      <c r="AL87" s="99">
        <f t="shared" si="15"/>
        <v>7</v>
      </c>
      <c r="AM87" s="117">
        <f t="shared" si="8"/>
        <v>-4114712</v>
      </c>
      <c r="AN87" s="20"/>
      <c r="AV87" t="s">
        <v>25</v>
      </c>
    </row>
    <row r="88" spans="4:52">
      <c r="D88" s="32" t="s">
        <v>316</v>
      </c>
      <c r="E88" s="1">
        <v>90000</v>
      </c>
      <c r="Q88" s="169" t="s">
        <v>4497</v>
      </c>
      <c r="R88" s="56">
        <v>12551</v>
      </c>
      <c r="S88" s="113">
        <f>R88*$T$111</f>
        <v>3105030.3199149081</v>
      </c>
      <c r="T88" s="169" t="s">
        <v>4509</v>
      </c>
      <c r="U88" s="169">
        <f>$Q$83*$T$83*S88/$R$109</f>
        <v>9.348706530116079</v>
      </c>
      <c r="V88" s="95">
        <f>S88+U88</f>
        <v>3105039.6686214381</v>
      </c>
      <c r="X88" s="115"/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4484</v>
      </c>
      <c r="AJ88" s="117">
        <v>-907489</v>
      </c>
      <c r="AK88" s="20">
        <v>0</v>
      </c>
      <c r="AL88" s="99">
        <f>AL89+AK88</f>
        <v>4</v>
      </c>
      <c r="AM88" s="117">
        <f t="shared" si="8"/>
        <v>-3629956</v>
      </c>
      <c r="AN88" s="20"/>
      <c r="AP88" t="s">
        <v>25</v>
      </c>
    </row>
    <row r="89" spans="4:52">
      <c r="D89" s="32" t="s">
        <v>317</v>
      </c>
      <c r="E89" s="1">
        <v>50000</v>
      </c>
      <c r="Q89" s="169"/>
      <c r="R89" s="56"/>
      <c r="S89" s="169"/>
      <c r="T89" s="169"/>
      <c r="U89" s="169"/>
      <c r="V89" s="99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4484</v>
      </c>
      <c r="AJ89" s="117">
        <v>2450000</v>
      </c>
      <c r="AK89" s="20">
        <v>1</v>
      </c>
      <c r="AL89" s="99">
        <f t="shared" si="15"/>
        <v>4</v>
      </c>
      <c r="AM89" s="117">
        <f t="shared" si="8"/>
        <v>9800000</v>
      </c>
      <c r="AN89" s="20" t="s">
        <v>4530</v>
      </c>
      <c r="AQ89" t="s">
        <v>25</v>
      </c>
      <c r="AU89" s="96" t="s">
        <v>25</v>
      </c>
    </row>
    <row r="90" spans="4:52">
      <c r="D90" s="32" t="s">
        <v>327</v>
      </c>
      <c r="E90" s="1">
        <v>150000</v>
      </c>
      <c r="Q90" s="169"/>
      <c r="R90" s="56"/>
      <c r="S90" s="169"/>
      <c r="T90" s="169"/>
      <c r="U90" s="169"/>
      <c r="V90" s="169"/>
      <c r="W90" s="115" t="s">
        <v>25</v>
      </c>
      <c r="X90" s="96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4534</v>
      </c>
      <c r="AJ90" s="117">
        <v>1500000</v>
      </c>
      <c r="AK90" s="20">
        <v>1</v>
      </c>
      <c r="AL90" s="99">
        <f t="shared" si="15"/>
        <v>3</v>
      </c>
      <c r="AM90" s="117">
        <f t="shared" si="8"/>
        <v>4500000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Q91" s="169"/>
      <c r="R91" s="169"/>
      <c r="S91" s="169"/>
      <c r="T91" s="169"/>
      <c r="U91" s="169"/>
      <c r="V91" s="169"/>
      <c r="W91" s="115"/>
      <c r="X91" s="96"/>
      <c r="Y91" s="115"/>
      <c r="Z91" s="115"/>
      <c r="AA91" s="115"/>
      <c r="AE91"/>
      <c r="AG91" s="96"/>
      <c r="AH91" s="20">
        <v>71</v>
      </c>
      <c r="AI91" s="117" t="s">
        <v>4544</v>
      </c>
      <c r="AJ91" s="117">
        <v>2648000</v>
      </c>
      <c r="AK91" s="20">
        <v>1</v>
      </c>
      <c r="AL91" s="99">
        <f t="shared" si="15"/>
        <v>2</v>
      </c>
      <c r="AM91" s="117">
        <f t="shared" si="8"/>
        <v>5296000</v>
      </c>
      <c r="AN91" s="20" t="s">
        <v>4546</v>
      </c>
      <c r="AQ91" t="s">
        <v>25</v>
      </c>
      <c r="AV91" t="s">
        <v>25</v>
      </c>
    </row>
    <row r="92" spans="4:52">
      <c r="D92" s="32" t="s">
        <v>319</v>
      </c>
      <c r="E92" s="1">
        <v>20000</v>
      </c>
      <c r="Q92" s="99"/>
      <c r="R92" s="99"/>
      <c r="S92" s="99"/>
      <c r="T92" s="99" t="s">
        <v>25</v>
      </c>
      <c r="U92" s="99"/>
      <c r="V92" s="99"/>
      <c r="W92" s="115"/>
      <c r="X92" s="96"/>
      <c r="Y92" s="115"/>
      <c r="Z92" s="115"/>
      <c r="AA92" s="115"/>
      <c r="AE92"/>
      <c r="AG92" s="96"/>
      <c r="AH92" s="20">
        <v>72</v>
      </c>
      <c r="AI92" s="117" t="s">
        <v>4235</v>
      </c>
      <c r="AJ92" s="117">
        <v>615000</v>
      </c>
      <c r="AK92" s="20">
        <v>1</v>
      </c>
      <c r="AL92" s="99">
        <f t="shared" si="15"/>
        <v>1</v>
      </c>
      <c r="AM92" s="117">
        <f t="shared" si="8"/>
        <v>615000</v>
      </c>
      <c r="AN92" s="20"/>
    </row>
    <row r="93" spans="4:52">
      <c r="D93" s="32" t="s">
        <v>320</v>
      </c>
      <c r="E93" s="1">
        <v>40000</v>
      </c>
      <c r="P93" s="115"/>
      <c r="Q93" s="99"/>
      <c r="R93" s="99"/>
      <c r="S93" s="99"/>
      <c r="T93" s="99"/>
      <c r="U93" s="99"/>
      <c r="V93" s="99"/>
      <c r="W93" s="115"/>
      <c r="X93" s="96"/>
      <c r="Y93" s="115"/>
      <c r="Z93" s="115"/>
      <c r="AA93" s="115"/>
      <c r="AE93"/>
      <c r="AG93" s="96"/>
      <c r="AH93" s="20"/>
      <c r="AI93" s="117"/>
      <c r="AJ93" s="117"/>
      <c r="AK93" s="20"/>
      <c r="AL93" s="99">
        <f>AL94+AK93</f>
        <v>0</v>
      </c>
      <c r="AM93" s="117">
        <f t="shared" si="8"/>
        <v>0</v>
      </c>
      <c r="AN93" s="20"/>
      <c r="AT93" s="96" t="s">
        <v>25</v>
      </c>
    </row>
    <row r="94" spans="4:52">
      <c r="D94" s="32" t="s">
        <v>322</v>
      </c>
      <c r="E94" s="1">
        <v>150000</v>
      </c>
      <c r="P94" s="128"/>
      <c r="Q94" s="99"/>
      <c r="R94" s="99"/>
      <c r="S94" s="99"/>
      <c r="T94" s="99"/>
      <c r="U94" s="99"/>
      <c r="V94" s="99"/>
      <c r="W94" s="115"/>
      <c r="X94" s="96"/>
      <c r="AH94" s="20"/>
      <c r="AI94" s="117"/>
      <c r="AJ94" s="117"/>
      <c r="AK94" s="20"/>
      <c r="AL94" s="99">
        <f t="shared" si="15"/>
        <v>0</v>
      </c>
      <c r="AM94" s="117">
        <f t="shared" si="8"/>
        <v>0</v>
      </c>
      <c r="AN94" s="20"/>
    </row>
    <row r="95" spans="4:52">
      <c r="D95" s="32" t="s">
        <v>324</v>
      </c>
      <c r="E95" s="1">
        <v>75000</v>
      </c>
      <c r="P95" s="128"/>
      <c r="Q95" s="96"/>
      <c r="R95" s="96"/>
      <c r="S95" s="96"/>
      <c r="T95" s="96"/>
      <c r="V95" s="96"/>
      <c r="X95" s="115"/>
      <c r="AH95" s="99"/>
      <c r="AI95" s="113"/>
      <c r="AJ95" s="113"/>
      <c r="AK95" s="99"/>
      <c r="AL95" s="99">
        <f t="shared" si="15"/>
        <v>0</v>
      </c>
      <c r="AM95" s="117">
        <f t="shared" si="8"/>
        <v>0</v>
      </c>
      <c r="AN95" s="99"/>
    </row>
    <row r="96" spans="4:52">
      <c r="D96" s="32" t="s">
        <v>314</v>
      </c>
      <c r="E96" s="1">
        <v>140000</v>
      </c>
      <c r="P96" s="115"/>
      <c r="Q96" s="96"/>
      <c r="R96" s="96"/>
      <c r="S96" s="96"/>
      <c r="T96" s="96"/>
      <c r="V96" s="96"/>
      <c r="AH96" s="99"/>
      <c r="AI96" s="113"/>
      <c r="AJ96" s="113"/>
      <c r="AK96" s="99"/>
      <c r="AL96" s="99">
        <f t="shared" si="15"/>
        <v>0</v>
      </c>
      <c r="AM96" s="117">
        <f t="shared" si="8"/>
        <v>0</v>
      </c>
      <c r="AN96" s="99"/>
    </row>
    <row r="97" spans="4:47">
      <c r="D97" s="2" t="s">
        <v>478</v>
      </c>
      <c r="E97" s="3">
        <v>1083333</v>
      </c>
      <c r="Q97" s="96"/>
      <c r="R97" s="96"/>
      <c r="S97" s="96"/>
      <c r="T97" s="96" t="s">
        <v>25</v>
      </c>
      <c r="V97" s="96"/>
      <c r="AH97" s="99"/>
      <c r="AI97" s="99"/>
      <c r="AJ97" s="95">
        <f>SUM(AJ20:AJ95)</f>
        <v>206952100</v>
      </c>
      <c r="AK97" s="99"/>
      <c r="AL97" s="99"/>
      <c r="AM97" s="95">
        <f>SUM(AM20:AM96)</f>
        <v>22804057737</v>
      </c>
      <c r="AN97" s="95">
        <f>AM97*AN100/31</f>
        <v>14712295.314193549</v>
      </c>
    </row>
    <row r="98" spans="4:47">
      <c r="D98" s="2"/>
      <c r="E98" s="3"/>
      <c r="H98" s="96"/>
      <c r="O98" s="115"/>
      <c r="Q98" s="96"/>
      <c r="R98" s="96"/>
      <c r="S98" s="96"/>
      <c r="T98" s="96"/>
      <c r="V98" s="96"/>
      <c r="AH98" s="99"/>
      <c r="AI98" s="99"/>
      <c r="AJ98" s="99" t="s">
        <v>4062</v>
      </c>
      <c r="AK98" s="99"/>
      <c r="AL98" s="99"/>
      <c r="AM98" s="99" t="s">
        <v>284</v>
      </c>
      <c r="AN98" s="99" t="s">
        <v>943</v>
      </c>
    </row>
    <row r="99" spans="4:47">
      <c r="D99" s="2"/>
      <c r="E99" s="3"/>
      <c r="K99" s="48" t="s">
        <v>788</v>
      </c>
      <c r="L99" s="48" t="s">
        <v>476</v>
      </c>
      <c r="O99" s="115"/>
      <c r="Q99" s="96"/>
      <c r="R99" s="96"/>
      <c r="S99" s="96"/>
      <c r="T99" s="99" t="s">
        <v>180</v>
      </c>
      <c r="U99" s="99" t="s">
        <v>4535</v>
      </c>
      <c r="V99" s="99" t="s">
        <v>4536</v>
      </c>
      <c r="W99" s="99" t="s">
        <v>4552</v>
      </c>
      <c r="X99" s="99" t="s">
        <v>8</v>
      </c>
      <c r="AH99" s="99"/>
      <c r="AI99" s="99"/>
      <c r="AJ99" s="99"/>
      <c r="AK99" s="99"/>
      <c r="AL99" s="99"/>
      <c r="AM99" s="99"/>
      <c r="AN99" s="99"/>
    </row>
    <row r="100" spans="4:47" ht="30">
      <c r="D100" s="2" t="s">
        <v>6</v>
      </c>
      <c r="E100" s="3">
        <f>SUM(E77:E98)</f>
        <v>3383333</v>
      </c>
      <c r="K100" s="47">
        <v>700000</v>
      </c>
      <c r="L100" s="48" t="s">
        <v>1039</v>
      </c>
      <c r="Q100" s="36" t="s">
        <v>4501</v>
      </c>
      <c r="R100" s="95">
        <f>SUM(N43:N51)</f>
        <v>217243626.30000001</v>
      </c>
      <c r="T100" s="113" t="s">
        <v>4509</v>
      </c>
      <c r="U100" s="56">
        <v>1000000</v>
      </c>
      <c r="V100" s="113">
        <v>239.024</v>
      </c>
      <c r="W100" s="113">
        <f>U100*V100</f>
        <v>239024000</v>
      </c>
      <c r="X100" s="99"/>
      <c r="AB100" s="96"/>
      <c r="AC100" s="96"/>
      <c r="AH100" s="99"/>
      <c r="AI100" s="99"/>
      <c r="AJ100" s="99"/>
      <c r="AK100" s="99"/>
      <c r="AL100" s="99"/>
      <c r="AM100" s="99" t="s">
        <v>4063</v>
      </c>
      <c r="AN100" s="99">
        <v>0.02</v>
      </c>
    </row>
    <row r="101" spans="4:47">
      <c r="D101" s="2" t="s">
        <v>328</v>
      </c>
      <c r="E101" s="3">
        <f>E100/30</f>
        <v>112777.76666666666</v>
      </c>
      <c r="K101" s="47">
        <v>500000</v>
      </c>
      <c r="L101" s="48" t="s">
        <v>479</v>
      </c>
      <c r="Q101" s="99" t="s">
        <v>4499</v>
      </c>
      <c r="R101" s="95">
        <f>SUM(N21:N25)</f>
        <v>25116101.500000004</v>
      </c>
      <c r="T101" s="169" t="s">
        <v>4484</v>
      </c>
      <c r="U101" s="56">
        <v>5904</v>
      </c>
      <c r="V101" s="113">
        <v>237.148</v>
      </c>
      <c r="W101" s="113">
        <f t="shared" ref="W101:W107" si="16">U101*V101</f>
        <v>1400121.7919999999</v>
      </c>
      <c r="X101" s="99" t="s">
        <v>1087</v>
      </c>
      <c r="AB101" s="96"/>
      <c r="AC101" s="96"/>
      <c r="AH101" s="99"/>
      <c r="AI101" s="99"/>
      <c r="AJ101" s="99"/>
      <c r="AK101" s="99"/>
      <c r="AL101" s="99"/>
      <c r="AM101" s="99"/>
      <c r="AN101" s="99"/>
    </row>
    <row r="102" spans="4:47">
      <c r="K102" s="47">
        <v>180000</v>
      </c>
      <c r="L102" s="48" t="s">
        <v>558</v>
      </c>
      <c r="Q102" s="99" t="s">
        <v>4500</v>
      </c>
      <c r="R102" s="95">
        <f>SUM(N28:N30)</f>
        <v>2832758.8000000003</v>
      </c>
      <c r="T102" s="169" t="s">
        <v>4235</v>
      </c>
      <c r="U102" s="169">
        <v>1000</v>
      </c>
      <c r="V102" s="113">
        <v>247.393</v>
      </c>
      <c r="W102" s="113">
        <f t="shared" si="16"/>
        <v>247393</v>
      </c>
      <c r="X102" s="99" t="s">
        <v>751</v>
      </c>
      <c r="AB102" s="96"/>
      <c r="AC102" s="96"/>
      <c r="AH102" s="99"/>
      <c r="AI102" s="99" t="s">
        <v>4064</v>
      </c>
      <c r="AJ102" s="95">
        <f>AJ97+AN97</f>
        <v>221664395.31419355</v>
      </c>
      <c r="AK102" s="99"/>
      <c r="AL102" s="99"/>
      <c r="AM102" s="99"/>
      <c r="AN102" s="99"/>
    </row>
    <row r="103" spans="4:47">
      <c r="K103" s="47">
        <v>0</v>
      </c>
      <c r="L103" s="48" t="s">
        <v>784</v>
      </c>
      <c r="Q103" s="99" t="s">
        <v>4502</v>
      </c>
      <c r="R103" s="95">
        <f>N41</f>
        <v>3908238</v>
      </c>
      <c r="T103" s="169"/>
      <c r="U103" s="169"/>
      <c r="V103" s="113"/>
      <c r="W103" s="113">
        <f t="shared" si="16"/>
        <v>0</v>
      </c>
      <c r="X103" s="99"/>
      <c r="AB103" s="96"/>
      <c r="AC103" s="96"/>
      <c r="AI103" t="s">
        <v>4067</v>
      </c>
      <c r="AJ103" s="114">
        <f>SUM(N41:N50)-N45</f>
        <v>216383770.30000001</v>
      </c>
    </row>
    <row r="104" spans="4:47">
      <c r="K104" s="47">
        <v>0</v>
      </c>
      <c r="L104" s="48" t="s">
        <v>785</v>
      </c>
      <c r="Q104" s="99" t="s">
        <v>4503</v>
      </c>
      <c r="R104" s="95">
        <f>N20</f>
        <v>0</v>
      </c>
      <c r="T104" s="169"/>
      <c r="U104" s="169"/>
      <c r="V104" s="113"/>
      <c r="W104" s="113">
        <f t="shared" si="16"/>
        <v>0</v>
      </c>
      <c r="X104" s="99"/>
      <c r="AB104" s="96"/>
      <c r="AC104" s="96"/>
      <c r="AI104" t="s">
        <v>4139</v>
      </c>
      <c r="AJ104" s="114">
        <f>AJ103-AJ97</f>
        <v>9431670.3000000119</v>
      </c>
    </row>
    <row r="105" spans="4:47">
      <c r="K105" s="47">
        <v>500000</v>
      </c>
      <c r="L105" s="48" t="s">
        <v>786</v>
      </c>
      <c r="Q105" s="99" t="s">
        <v>4504</v>
      </c>
      <c r="R105" s="95">
        <f>N27</f>
        <v>0</v>
      </c>
      <c r="T105" s="169"/>
      <c r="U105" s="169"/>
      <c r="V105" s="113"/>
      <c r="W105" s="113">
        <f t="shared" si="16"/>
        <v>0</v>
      </c>
      <c r="X105" s="99"/>
      <c r="AB105" s="96"/>
      <c r="AC105" s="96"/>
      <c r="AI105" t="s">
        <v>943</v>
      </c>
      <c r="AJ105" s="114">
        <f>AN97</f>
        <v>14712295.314193549</v>
      </c>
    </row>
    <row r="106" spans="4:47">
      <c r="K106" s="47">
        <v>75000</v>
      </c>
      <c r="L106" s="48" t="s">
        <v>787</v>
      </c>
      <c r="Q106" s="99" t="s">
        <v>4516</v>
      </c>
      <c r="R106" s="95">
        <v>339</v>
      </c>
      <c r="T106" s="169"/>
      <c r="U106" s="169"/>
      <c r="V106" s="113"/>
      <c r="W106" s="113">
        <f t="shared" si="16"/>
        <v>0</v>
      </c>
      <c r="X106" s="99"/>
      <c r="AB106" s="96"/>
      <c r="AC106" s="96"/>
      <c r="AI106" t="s">
        <v>4068</v>
      </c>
      <c r="AJ106" s="114">
        <f>AJ103-AJ102</f>
        <v>-5280625.0141935349</v>
      </c>
    </row>
    <row r="107" spans="4:47">
      <c r="K107" s="47">
        <v>0</v>
      </c>
      <c r="L107" s="48" t="s">
        <v>789</v>
      </c>
      <c r="Q107" s="99"/>
      <c r="R107" s="95"/>
      <c r="T107" s="169"/>
      <c r="U107" s="169"/>
      <c r="V107" s="113"/>
      <c r="W107" s="113">
        <f t="shared" si="16"/>
        <v>0</v>
      </c>
      <c r="X107" s="99"/>
      <c r="AB107" s="96"/>
      <c r="AC107" s="96"/>
    </row>
    <row r="108" spans="4:47">
      <c r="K108" s="47">
        <v>500000</v>
      </c>
      <c r="L108" s="48" t="s">
        <v>564</v>
      </c>
      <c r="Q108" s="99"/>
      <c r="R108" s="99"/>
      <c r="T108" s="169"/>
      <c r="U108" s="169">
        <f>SUM(U100:U106)</f>
        <v>1006904</v>
      </c>
      <c r="V108" s="99"/>
      <c r="W108" s="99"/>
      <c r="X108" s="99"/>
      <c r="AB108" s="96"/>
      <c r="AC108" s="96"/>
      <c r="AJ108" t="s">
        <v>25</v>
      </c>
    </row>
    <row r="109" spans="4:47">
      <c r="K109" s="47">
        <v>50000</v>
      </c>
      <c r="L109" s="48" t="s">
        <v>792</v>
      </c>
      <c r="Q109" s="99" t="s">
        <v>4508</v>
      </c>
      <c r="R109" s="95">
        <f>SUM(R100:R107)</f>
        <v>249101063.60000002</v>
      </c>
      <c r="S109" s="115"/>
      <c r="T109" s="99"/>
      <c r="U109" s="99" t="s">
        <v>6</v>
      </c>
      <c r="V109" s="99"/>
      <c r="W109" s="99"/>
      <c r="X109" s="99"/>
      <c r="AC109" s="96"/>
      <c r="AD109" s="96"/>
      <c r="AE109"/>
      <c r="AF109"/>
    </row>
    <row r="110" spans="4:47">
      <c r="K110" s="47">
        <v>140000</v>
      </c>
      <c r="L110" s="48" t="s">
        <v>314</v>
      </c>
      <c r="S110" s="122"/>
      <c r="T110" s="210" t="s">
        <v>4537</v>
      </c>
      <c r="AR110" s="96"/>
      <c r="AS110" s="96"/>
      <c r="AT110"/>
      <c r="AU110"/>
    </row>
    <row r="111" spans="4:47">
      <c r="K111" s="47"/>
      <c r="L111" s="48" t="s">
        <v>25</v>
      </c>
      <c r="Q111" s="55"/>
      <c r="R111" s="186"/>
      <c r="S111" s="115"/>
      <c r="T111" s="205">
        <f>R109/U108</f>
        <v>247.39306190063803</v>
      </c>
    </row>
    <row r="112" spans="4:47">
      <c r="K112" s="47">
        <f>SUM(K100:K111)</f>
        <v>2645000</v>
      </c>
      <c r="L112" s="48" t="s">
        <v>6</v>
      </c>
      <c r="Q112" s="55"/>
      <c r="R112" s="186"/>
      <c r="S112" s="115"/>
    </row>
    <row r="113" spans="17:43">
      <c r="Q113" s="122"/>
      <c r="R113" s="115"/>
      <c r="U113" s="96" t="s">
        <v>267</v>
      </c>
      <c r="V113" t="s">
        <v>4538</v>
      </c>
      <c r="AH113" s="99" t="s">
        <v>3643</v>
      </c>
      <c r="AI113" s="99" t="s">
        <v>180</v>
      </c>
      <c r="AJ113" s="99" t="s">
        <v>267</v>
      </c>
      <c r="AK113" s="99" t="s">
        <v>4061</v>
      </c>
      <c r="AL113" s="99" t="s">
        <v>4053</v>
      </c>
      <c r="AM113" s="99" t="s">
        <v>282</v>
      </c>
      <c r="AN113" s="99" t="s">
        <v>4304</v>
      </c>
    </row>
    <row r="114" spans="17:43">
      <c r="U114" s="96">
        <v>247054</v>
      </c>
      <c r="V114">
        <f>U114/T111</f>
        <v>998.62946075353477</v>
      </c>
      <c r="AH114" s="99">
        <v>1</v>
      </c>
      <c r="AI114" s="99" t="s">
        <v>3952</v>
      </c>
      <c r="AJ114" s="117">
        <v>3555820</v>
      </c>
      <c r="AK114" s="99">
        <v>2</v>
      </c>
      <c r="AL114" s="99">
        <f>AK114+AL115</f>
        <v>135</v>
      </c>
      <c r="AM114" s="99">
        <f>AJ114*AL114</f>
        <v>480035700</v>
      </c>
      <c r="AN114" s="99" t="s">
        <v>4328</v>
      </c>
    </row>
    <row r="115" spans="17:43">
      <c r="Q115" s="99" t="s">
        <v>4497</v>
      </c>
      <c r="R115" s="99"/>
      <c r="AH115" s="99">
        <v>2</v>
      </c>
      <c r="AI115" s="99" t="s">
        <v>4027</v>
      </c>
      <c r="AJ115" s="117">
        <v>1720837</v>
      </c>
      <c r="AK115" s="99">
        <v>51</v>
      </c>
      <c r="AL115" s="99">
        <f t="shared" ref="AL115:AL137" si="17">AK115+AL116</f>
        <v>133</v>
      </c>
      <c r="AM115" s="99">
        <f t="shared" ref="AM115:AM137" si="18">AJ115*AL115</f>
        <v>228871321</v>
      </c>
      <c r="AN115" s="99" t="s">
        <v>4329</v>
      </c>
    </row>
    <row r="116" spans="17:43">
      <c r="Q116" s="36" t="s">
        <v>180</v>
      </c>
      <c r="R116" s="99" t="s">
        <v>267</v>
      </c>
      <c r="AH116" s="99">
        <v>3</v>
      </c>
      <c r="AI116" s="99" t="s">
        <v>4133</v>
      </c>
      <c r="AJ116" s="117">
        <v>150000</v>
      </c>
      <c r="AK116" s="99">
        <v>3</v>
      </c>
      <c r="AL116" s="99">
        <f t="shared" si="17"/>
        <v>82</v>
      </c>
      <c r="AM116" s="99">
        <f t="shared" si="18"/>
        <v>12300000</v>
      </c>
      <c r="AN116" s="99"/>
    </row>
    <row r="117" spans="17:43">
      <c r="Q117" s="99" t="s">
        <v>4484</v>
      </c>
      <c r="R117" s="95">
        <v>3000000</v>
      </c>
      <c r="AH117" s="99">
        <v>4</v>
      </c>
      <c r="AI117" s="99" t="s">
        <v>4148</v>
      </c>
      <c r="AJ117" s="117">
        <v>-95000</v>
      </c>
      <c r="AK117" s="99">
        <v>8</v>
      </c>
      <c r="AL117" s="99">
        <f t="shared" si="17"/>
        <v>79</v>
      </c>
      <c r="AM117" s="99">
        <f t="shared" si="18"/>
        <v>-7505000</v>
      </c>
      <c r="AN117" s="99"/>
    </row>
    <row r="118" spans="17:43">
      <c r="Q118" s="99"/>
      <c r="R118" s="95"/>
      <c r="AH118" s="99">
        <v>5</v>
      </c>
      <c r="AI118" s="99" t="s">
        <v>4175</v>
      </c>
      <c r="AJ118" s="117">
        <v>3150000</v>
      </c>
      <c r="AK118" s="99">
        <v>16</v>
      </c>
      <c r="AL118" s="99">
        <f t="shared" si="17"/>
        <v>71</v>
      </c>
      <c r="AM118" s="99">
        <f t="shared" si="18"/>
        <v>223650000</v>
      </c>
      <c r="AN118" s="99"/>
    </row>
    <row r="119" spans="17:43" ht="60">
      <c r="Q119" s="99"/>
      <c r="R119" s="95"/>
      <c r="T119" s="22" t="s">
        <v>4519</v>
      </c>
      <c r="AH119" s="99">
        <v>6</v>
      </c>
      <c r="AI119" s="99" t="s">
        <v>4244</v>
      </c>
      <c r="AJ119" s="117">
        <v>-65000</v>
      </c>
      <c r="AK119" s="99">
        <v>1</v>
      </c>
      <c r="AL119" s="99">
        <f t="shared" si="17"/>
        <v>55</v>
      </c>
      <c r="AM119" s="99">
        <f t="shared" si="18"/>
        <v>-3575000</v>
      </c>
      <c r="AN119" s="99"/>
    </row>
    <row r="120" spans="17:43" ht="45">
      <c r="Q120" s="99"/>
      <c r="R120" s="95"/>
      <c r="T120" s="22" t="s">
        <v>4520</v>
      </c>
      <c r="AH120" s="99">
        <v>7</v>
      </c>
      <c r="AI120" s="99" t="s">
        <v>4330</v>
      </c>
      <c r="AJ120" s="117">
        <v>-95000</v>
      </c>
      <c r="AK120" s="99">
        <v>6</v>
      </c>
      <c r="AL120" s="99">
        <f t="shared" si="17"/>
        <v>54</v>
      </c>
      <c r="AM120" s="99">
        <f t="shared" si="18"/>
        <v>-5130000</v>
      </c>
      <c r="AN120" s="99"/>
      <c r="AO120" t="s">
        <v>25</v>
      </c>
    </row>
    <row r="121" spans="17:43">
      <c r="Q121" s="99"/>
      <c r="R121" s="95"/>
      <c r="AH121" s="99">
        <v>8</v>
      </c>
      <c r="AI121" s="99" t="s">
        <v>4331</v>
      </c>
      <c r="AJ121" s="117">
        <v>232000</v>
      </c>
      <c r="AK121" s="99">
        <v>7</v>
      </c>
      <c r="AL121" s="99">
        <f t="shared" si="17"/>
        <v>48</v>
      </c>
      <c r="AM121" s="99">
        <f t="shared" si="18"/>
        <v>11136000</v>
      </c>
      <c r="AN121" s="99"/>
      <c r="AP121" t="s">
        <v>25</v>
      </c>
      <c r="AQ121" t="s">
        <v>25</v>
      </c>
    </row>
    <row r="122" spans="17:43">
      <c r="Q122" s="99"/>
      <c r="R122" s="95"/>
      <c r="AH122" s="99">
        <v>9</v>
      </c>
      <c r="AI122" s="99" t="s">
        <v>4303</v>
      </c>
      <c r="AJ122" s="117">
        <v>13000000</v>
      </c>
      <c r="AK122" s="99">
        <v>2</v>
      </c>
      <c r="AL122" s="99">
        <f t="shared" si="17"/>
        <v>41</v>
      </c>
      <c r="AM122" s="99">
        <f t="shared" si="18"/>
        <v>533000000</v>
      </c>
      <c r="AN122" s="99"/>
    </row>
    <row r="123" spans="17:43">
      <c r="Q123" s="99"/>
      <c r="R123" s="95">
        <f>SUM(R117:R121)</f>
        <v>3000000</v>
      </c>
      <c r="T123" s="99" t="s">
        <v>4539</v>
      </c>
      <c r="U123" s="99" t="s">
        <v>4508</v>
      </c>
      <c r="V123" s="99" t="s">
        <v>953</v>
      </c>
      <c r="AH123" s="99">
        <v>10</v>
      </c>
      <c r="AI123" s="99" t="s">
        <v>4332</v>
      </c>
      <c r="AJ123" s="117">
        <v>10000000</v>
      </c>
      <c r="AK123" s="99">
        <v>3</v>
      </c>
      <c r="AL123" s="99">
        <f t="shared" si="17"/>
        <v>39</v>
      </c>
      <c r="AM123" s="99">
        <f t="shared" si="18"/>
        <v>390000000</v>
      </c>
      <c r="AN123" s="99"/>
    </row>
    <row r="124" spans="17:43">
      <c r="Q124" s="99"/>
      <c r="R124" s="99" t="s">
        <v>6</v>
      </c>
      <c r="T124" s="95">
        <f>R123+R131+R140+R149</f>
        <v>240670393</v>
      </c>
      <c r="U124" s="95">
        <f>R109</f>
        <v>249101063.60000002</v>
      </c>
      <c r="V124" s="95">
        <f>U124-T124</f>
        <v>8430670.6000000238</v>
      </c>
      <c r="AH124" s="99">
        <v>11</v>
      </c>
      <c r="AI124" s="99" t="s">
        <v>4316</v>
      </c>
      <c r="AJ124" s="117">
        <v>3400000</v>
      </c>
      <c r="AK124" s="99">
        <v>9</v>
      </c>
      <c r="AL124" s="99">
        <f t="shared" si="17"/>
        <v>36</v>
      </c>
      <c r="AM124" s="99">
        <f t="shared" si="18"/>
        <v>122400000</v>
      </c>
      <c r="AN124" s="99"/>
    </row>
    <row r="125" spans="17:43">
      <c r="AH125" s="99">
        <v>12</v>
      </c>
      <c r="AI125" s="99" t="s">
        <v>4364</v>
      </c>
      <c r="AJ125" s="117">
        <v>-8736514</v>
      </c>
      <c r="AK125" s="99">
        <v>1</v>
      </c>
      <c r="AL125" s="99">
        <f>AK125+AL126</f>
        <v>27</v>
      </c>
      <c r="AM125" s="99">
        <f t="shared" si="18"/>
        <v>-235885878</v>
      </c>
      <c r="AN125" s="99"/>
    </row>
    <row r="126" spans="17:43">
      <c r="Q126" s="99" t="s">
        <v>1087</v>
      </c>
      <c r="R126" s="99"/>
      <c r="AH126" s="99">
        <v>13</v>
      </c>
      <c r="AI126" s="99" t="s">
        <v>4365</v>
      </c>
      <c r="AJ126" s="117">
        <v>555000</v>
      </c>
      <c r="AK126" s="99">
        <v>5</v>
      </c>
      <c r="AL126" s="99">
        <f t="shared" ref="AL126:AL136" si="19">AK126+AL127</f>
        <v>26</v>
      </c>
      <c r="AM126" s="99">
        <f t="shared" si="18"/>
        <v>14430000</v>
      </c>
      <c r="AN126" s="99"/>
    </row>
    <row r="127" spans="17:43">
      <c r="Q127" s="99" t="s">
        <v>4484</v>
      </c>
      <c r="R127" s="95">
        <v>828000</v>
      </c>
      <c r="AH127" s="99">
        <v>14</v>
      </c>
      <c r="AI127" s="99" t="s">
        <v>4389</v>
      </c>
      <c r="AJ127" s="117">
        <v>-448308</v>
      </c>
      <c r="AK127" s="99">
        <v>6</v>
      </c>
      <c r="AL127" s="99">
        <f t="shared" si="19"/>
        <v>21</v>
      </c>
      <c r="AM127" s="99">
        <f t="shared" si="18"/>
        <v>-9414468</v>
      </c>
      <c r="AN127" s="99"/>
    </row>
    <row r="128" spans="17:43">
      <c r="Q128" s="99" t="s">
        <v>4534</v>
      </c>
      <c r="R128" s="95">
        <v>1400000</v>
      </c>
      <c r="AH128" s="99">
        <v>15</v>
      </c>
      <c r="AI128" s="99" t="s">
        <v>4423</v>
      </c>
      <c r="AJ128" s="117">
        <v>33225</v>
      </c>
      <c r="AK128" s="99">
        <v>0</v>
      </c>
      <c r="AL128" s="99">
        <f t="shared" si="19"/>
        <v>15</v>
      </c>
      <c r="AM128" s="99">
        <f t="shared" si="18"/>
        <v>498375</v>
      </c>
      <c r="AN128" s="99"/>
    </row>
    <row r="129" spans="17:40">
      <c r="Q129" s="99"/>
      <c r="R129" s="95"/>
      <c r="AH129" s="149">
        <v>16</v>
      </c>
      <c r="AI129" s="149" t="s">
        <v>4423</v>
      </c>
      <c r="AJ129" s="193">
        <v>4098523</v>
      </c>
      <c r="AK129" s="149">
        <v>2</v>
      </c>
      <c r="AL129" s="149">
        <f t="shared" si="19"/>
        <v>15</v>
      </c>
      <c r="AM129" s="149">
        <f t="shared" si="18"/>
        <v>61477845</v>
      </c>
      <c r="AN129" s="149" t="s">
        <v>657</v>
      </c>
    </row>
    <row r="130" spans="17:40">
      <c r="Q130" s="99"/>
      <c r="R130" s="95"/>
      <c r="AH130" s="149">
        <v>17</v>
      </c>
      <c r="AI130" s="149" t="s">
        <v>4439</v>
      </c>
      <c r="AJ130" s="193">
        <v>-1000000</v>
      </c>
      <c r="AK130" s="149">
        <v>7</v>
      </c>
      <c r="AL130" s="149">
        <f t="shared" si="19"/>
        <v>13</v>
      </c>
      <c r="AM130" s="149">
        <f t="shared" si="18"/>
        <v>-13000000</v>
      </c>
      <c r="AN130" s="149" t="s">
        <v>657</v>
      </c>
    </row>
    <row r="131" spans="17:40">
      <c r="Q131" s="99"/>
      <c r="R131" s="95">
        <f>SUM(R127:R129)</f>
        <v>2228000</v>
      </c>
      <c r="AH131" s="149">
        <v>18</v>
      </c>
      <c r="AI131" s="149" t="s">
        <v>4475</v>
      </c>
      <c r="AJ131" s="193">
        <v>750000</v>
      </c>
      <c r="AK131" s="149">
        <v>1</v>
      </c>
      <c r="AL131" s="149">
        <f t="shared" si="19"/>
        <v>6</v>
      </c>
      <c r="AM131" s="149">
        <f t="shared" si="18"/>
        <v>4500000</v>
      </c>
      <c r="AN131" s="149" t="s">
        <v>657</v>
      </c>
    </row>
    <row r="132" spans="17:40">
      <c r="Q132" s="99"/>
      <c r="R132" s="99" t="s">
        <v>6</v>
      </c>
      <c r="AH132" s="201">
        <v>19</v>
      </c>
      <c r="AI132" s="201" t="s">
        <v>4482</v>
      </c>
      <c r="AJ132" s="202">
        <v>-604152</v>
      </c>
      <c r="AK132" s="201">
        <v>0</v>
      </c>
      <c r="AL132" s="201">
        <f t="shared" si="19"/>
        <v>5</v>
      </c>
      <c r="AM132" s="201">
        <f t="shared" si="18"/>
        <v>-3020760</v>
      </c>
      <c r="AN132" s="201" t="s">
        <v>657</v>
      </c>
    </row>
    <row r="133" spans="17:40">
      <c r="AH133" s="99">
        <v>20</v>
      </c>
      <c r="AI133" s="99" t="s">
        <v>4483</v>
      </c>
      <c r="AJ133" s="117">
        <v>-587083</v>
      </c>
      <c r="AK133" s="99">
        <v>4</v>
      </c>
      <c r="AL133" s="99">
        <f t="shared" si="19"/>
        <v>5</v>
      </c>
      <c r="AM133" s="99">
        <f t="shared" si="18"/>
        <v>-2935415</v>
      </c>
      <c r="AN133" s="99"/>
    </row>
    <row r="134" spans="17:40">
      <c r="Q134" s="99" t="s">
        <v>751</v>
      </c>
      <c r="R134" s="99"/>
      <c r="AH134" s="201">
        <v>21</v>
      </c>
      <c r="AI134" s="201" t="s">
        <v>4484</v>
      </c>
      <c r="AJ134" s="202">
        <v>-754351</v>
      </c>
      <c r="AK134" s="201">
        <v>0</v>
      </c>
      <c r="AL134" s="201">
        <f t="shared" si="19"/>
        <v>1</v>
      </c>
      <c r="AM134" s="201">
        <f t="shared" si="18"/>
        <v>-754351</v>
      </c>
      <c r="AN134" s="201" t="s">
        <v>657</v>
      </c>
    </row>
    <row r="135" spans="17:40">
      <c r="Q135" s="99" t="s">
        <v>4484</v>
      </c>
      <c r="R135" s="95">
        <v>172080000</v>
      </c>
      <c r="AH135" s="99">
        <v>22</v>
      </c>
      <c r="AI135" s="99" t="s">
        <v>4484</v>
      </c>
      <c r="AJ135" s="117">
        <v>-189619</v>
      </c>
      <c r="AK135" s="99">
        <v>1</v>
      </c>
      <c r="AL135" s="99">
        <f t="shared" si="19"/>
        <v>1</v>
      </c>
      <c r="AM135" s="99">
        <f t="shared" si="18"/>
        <v>-189619</v>
      </c>
      <c r="AN135" s="99"/>
    </row>
    <row r="136" spans="17:40">
      <c r="Q136" s="99" t="s">
        <v>4235</v>
      </c>
      <c r="R136" s="95">
        <v>247393</v>
      </c>
      <c r="AH136" s="99"/>
      <c r="AI136" s="99"/>
      <c r="AJ136" s="99"/>
      <c r="AK136" s="99"/>
      <c r="AL136" s="99">
        <f t="shared" si="19"/>
        <v>0</v>
      </c>
      <c r="AM136" s="99">
        <f t="shared" si="18"/>
        <v>0</v>
      </c>
      <c r="AN136" s="99"/>
    </row>
    <row r="137" spans="17:40">
      <c r="Q137" s="99"/>
      <c r="R137" s="95"/>
      <c r="AH137" s="99"/>
      <c r="AI137" s="99"/>
      <c r="AJ137" s="99"/>
      <c r="AK137" s="99"/>
      <c r="AL137" s="99">
        <f t="shared" si="17"/>
        <v>0</v>
      </c>
      <c r="AM137" s="99">
        <f t="shared" si="18"/>
        <v>0</v>
      </c>
      <c r="AN137" s="99"/>
    </row>
    <row r="138" spans="17:40">
      <c r="Q138" s="99"/>
      <c r="R138" s="95"/>
      <c r="AH138" s="99"/>
      <c r="AI138" s="99"/>
      <c r="AJ138" s="99"/>
      <c r="AK138" s="99"/>
      <c r="AL138" s="99"/>
      <c r="AM138" s="99"/>
      <c r="AN138" s="99"/>
    </row>
    <row r="139" spans="17:40">
      <c r="Q139" s="99"/>
      <c r="R139" s="95"/>
      <c r="AH139" s="99"/>
      <c r="AI139" s="99"/>
      <c r="AJ139" s="95">
        <f>SUM(AJ114:AJ138)</f>
        <v>28070378</v>
      </c>
      <c r="AK139" s="99"/>
      <c r="AL139" s="99"/>
      <c r="AM139" s="99">
        <f>SUM(AM114:AM138)</f>
        <v>1800888750</v>
      </c>
      <c r="AN139" s="95">
        <f>AM139*AN100/31</f>
        <v>1161863.7096774194</v>
      </c>
    </row>
    <row r="140" spans="17:40">
      <c r="Q140" s="99"/>
      <c r="R140" s="95">
        <f>SUM(R135:R138)</f>
        <v>172327393</v>
      </c>
      <c r="T140" t="s">
        <v>25</v>
      </c>
      <c r="AJ140" t="s">
        <v>4062</v>
      </c>
      <c r="AM140" t="s">
        <v>284</v>
      </c>
      <c r="AN140" t="s">
        <v>943</v>
      </c>
    </row>
    <row r="141" spans="17:40">
      <c r="Q141" s="99"/>
      <c r="R141" s="99" t="s">
        <v>6</v>
      </c>
    </row>
    <row r="142" spans="17:40">
      <c r="AI142" t="s">
        <v>4064</v>
      </c>
      <c r="AJ142" s="114">
        <f>AJ139+AN139</f>
        <v>29232241.709677421</v>
      </c>
    </row>
    <row r="143" spans="17:40">
      <c r="AI143" t="s">
        <v>4067</v>
      </c>
      <c r="AJ143" s="114">
        <f>SUM(N20:N30)</f>
        <v>27948860.300000001</v>
      </c>
    </row>
    <row r="144" spans="17:40">
      <c r="Q144" s="99" t="s">
        <v>452</v>
      </c>
      <c r="R144" s="99"/>
      <c r="AI144" t="s">
        <v>4139</v>
      </c>
      <c r="AJ144" s="114">
        <f>AJ143-AJ139</f>
        <v>-121517.69999999925</v>
      </c>
    </row>
    <row r="145" spans="17:36">
      <c r="Q145" s="99" t="s">
        <v>4484</v>
      </c>
      <c r="R145" s="95">
        <v>63115000</v>
      </c>
      <c r="AI145" t="s">
        <v>943</v>
      </c>
      <c r="AJ145" s="114">
        <f>AN139</f>
        <v>1161863.7096774194</v>
      </c>
    </row>
    <row r="146" spans="17:36">
      <c r="Q146" s="99"/>
      <c r="R146" s="95"/>
      <c r="AI146" t="s">
        <v>4068</v>
      </c>
      <c r="AJ146" s="114">
        <f>AJ144-AJ145</f>
        <v>-1283381.4096774186</v>
      </c>
    </row>
    <row r="147" spans="17:36">
      <c r="Q147" s="99"/>
      <c r="R147" s="95"/>
    </row>
    <row r="148" spans="17:36">
      <c r="Q148" s="99"/>
      <c r="R148" s="95"/>
    </row>
    <row r="149" spans="17:36">
      <c r="Q149" s="99"/>
      <c r="R149" s="95">
        <f>SUM(R145:R147)</f>
        <v>63115000</v>
      </c>
    </row>
    <row r="150" spans="17:36">
      <c r="Q150" s="99"/>
      <c r="R150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8:P29 S29 P22 S67 U86 S7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3643</v>
      </c>
      <c r="B1" s="99" t="s">
        <v>180</v>
      </c>
      <c r="C1" s="99" t="s">
        <v>4284</v>
      </c>
      <c r="D1" s="99" t="s">
        <v>4285</v>
      </c>
      <c r="E1" s="99" t="s">
        <v>4286</v>
      </c>
      <c r="F1" s="99" t="s">
        <v>4287</v>
      </c>
      <c r="G1" s="74" t="s">
        <v>4288</v>
      </c>
      <c r="H1" s="74" t="s">
        <v>4465</v>
      </c>
      <c r="I1" s="74" t="s">
        <v>4311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4289</v>
      </c>
      <c r="G27" s="99" t="s">
        <v>4290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2018-12-04T12:08:38Z</dcterms:modified>
</cp:coreProperties>
</file>