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آبان97" sheetId="50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strategy" sheetId="49" r:id="rId8"/>
    <sheet name="مسکن مریم سید الشهدا" sheetId="14" r:id="rId9"/>
    <sheet name="بدهی خانه" sheetId="10" r:id="rId10"/>
    <sheet name="اردیبهشت95" sheetId="5" r:id="rId11"/>
    <sheet name="خرداد 95" sheetId="4" r:id="rId12"/>
    <sheet name="تیرماه95" sheetId="2" r:id="rId13"/>
    <sheet name="مرداد 95" sheetId="3" r:id="rId14"/>
    <sheet name="شهریور 95" sheetId="6" r:id="rId15"/>
    <sheet name="مهر 95" sheetId="7" r:id="rId16"/>
    <sheet name="آبان 95" sheetId="8" r:id="rId17"/>
    <sheet name="آذر 95" sheetId="9" r:id="rId18"/>
    <sheet name="دی 95" sheetId="11" r:id="rId19"/>
    <sheet name="بهمن 95" sheetId="12" r:id="rId20"/>
    <sheet name="اسفند 95" sheetId="17" r:id="rId21"/>
    <sheet name="فروردین 96" sheetId="19" r:id="rId22"/>
    <sheet name="اردیبهشت 96" sheetId="21" r:id="rId23"/>
    <sheet name="خرداد 96" sheetId="22" r:id="rId24"/>
    <sheet name="تیر 96" sheetId="23" r:id="rId25"/>
    <sheet name="مرداد 96" sheetId="24" r:id="rId26"/>
    <sheet name="شهریور 96" sheetId="25" r:id="rId27"/>
    <sheet name="مهر96" sheetId="26" r:id="rId28"/>
    <sheet name="آبان 96" sheetId="27" r:id="rId29"/>
    <sheet name="آذر 96" sheetId="28" r:id="rId30"/>
    <sheet name="دی 96" sheetId="29" r:id="rId31"/>
    <sheet name="بهمن 96" sheetId="30" r:id="rId32"/>
    <sheet name="اسفند 96" sheetId="31" r:id="rId33"/>
    <sheet name="فروردین 97" sheetId="34" r:id="rId34"/>
    <sheet name="اردیبهشت 97" sheetId="38" r:id="rId35"/>
    <sheet name="خرداد 97" sheetId="42" r:id="rId36"/>
    <sheet name="تیر97" sheetId="43" r:id="rId37"/>
    <sheet name="مرداد97" sheetId="45" r:id="rId38"/>
    <sheet name="شهریور97" sheetId="46" r:id="rId39"/>
    <sheet name="مهر97" sheetId="48" r:id="rId40"/>
    <sheet name="لیست خرید و فروش" sheetId="32" r:id="rId41"/>
    <sheet name="اوراق بدون ریسک" sheetId="33" r:id="rId42"/>
    <sheet name="نکات" sheetId="35" r:id="rId43"/>
    <sheet name="سکه" sheetId="36" r:id="rId44"/>
    <sheet name="apply" sheetId="37" r:id="rId45"/>
    <sheet name="بیمه" sheetId="39" r:id="rId46"/>
    <sheet name="آرشیو قیمت ارجینال" sheetId="40" r:id="rId47"/>
    <sheet name="تحلیل1" sheetId="41" r:id="rId48"/>
  </sheets>
  <calcPr calcId="145621"/>
</workbook>
</file>

<file path=xl/calcChain.xml><?xml version="1.0" encoding="utf-8"?>
<calcChain xmlns="http://schemas.openxmlformats.org/spreadsheetml/2006/main">
  <c r="AI89" i="18" l="1"/>
  <c r="AD28" i="18" l="1"/>
  <c r="AC28" i="18"/>
  <c r="AC27" i="18"/>
  <c r="AD27" i="18" s="1"/>
  <c r="P23" i="18"/>
  <c r="N44" i="18"/>
  <c r="C8" i="36" l="1"/>
  <c r="Q58" i="18" l="1"/>
  <c r="N37" i="18" l="1"/>
  <c r="D91" i="50"/>
  <c r="AI131" i="18" l="1"/>
  <c r="P24" i="18" l="1"/>
  <c r="N24" i="18" s="1"/>
  <c r="N40" i="18"/>
  <c r="R22" i="33" l="1"/>
  <c r="N22" i="33"/>
  <c r="C22" i="33"/>
  <c r="E22" i="33"/>
  <c r="F22" i="33"/>
  <c r="J22" i="33"/>
  <c r="AK88" i="18"/>
  <c r="AK87" i="18" s="1"/>
  <c r="AK86" i="18" s="1"/>
  <c r="AK85" i="18" s="1"/>
  <c r="AK84" i="18" s="1"/>
  <c r="AK83" i="18" s="1"/>
  <c r="AK82" i="18" s="1"/>
  <c r="AK81" i="18" s="1"/>
  <c r="AK80" i="18" s="1"/>
  <c r="AL80" i="18" s="1"/>
  <c r="AL81" i="18" l="1"/>
  <c r="AL85" i="18"/>
  <c r="AL88" i="18"/>
  <c r="AL84" i="18"/>
  <c r="AL87" i="18"/>
  <c r="AL83" i="18"/>
  <c r="AL86" i="18"/>
  <c r="AL82" i="18"/>
  <c r="B22" i="33"/>
  <c r="I22" i="33"/>
  <c r="L22" i="33"/>
  <c r="H22" i="33"/>
  <c r="D22" i="33"/>
  <c r="K22" i="33"/>
  <c r="G22" i="33"/>
  <c r="AC26" i="18" l="1"/>
  <c r="AD26" i="18" s="1"/>
  <c r="AK129" i="18"/>
  <c r="P21" i="18"/>
  <c r="N21" i="18" s="1"/>
  <c r="S21" i="18"/>
  <c r="S22" i="18" s="1"/>
  <c r="AL129" i="18" l="1"/>
  <c r="AK128" i="18"/>
  <c r="S23" i="18"/>
  <c r="S24" i="18" s="1"/>
  <c r="S25" i="18" s="1"/>
  <c r="S26" i="18" s="1"/>
  <c r="S27" i="18" s="1"/>
  <c r="P20" i="18"/>
  <c r="N20" i="18" s="1"/>
  <c r="N43" i="18"/>
  <c r="AK127" i="18" l="1"/>
  <c r="AL128" i="18"/>
  <c r="AK126" i="18" l="1"/>
  <c r="AL127" i="18"/>
  <c r="N42" i="18"/>
  <c r="AK125" i="18" l="1"/>
  <c r="AL126" i="18"/>
  <c r="R58" i="18"/>
  <c r="AK124" i="18" l="1"/>
  <c r="AL125" i="18"/>
  <c r="L19" i="18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K123" i="18" l="1"/>
  <c r="AL124" i="18"/>
  <c r="AC24" i="18"/>
  <c r="AD24" i="18" s="1"/>
  <c r="AD32" i="18" s="1"/>
  <c r="N45" i="18"/>
  <c r="AC25" i="18"/>
  <c r="AD25" i="18" s="1"/>
  <c r="D73" i="48"/>
  <c r="AD34" i="18"/>
  <c r="N23" i="18"/>
  <c r="AK122" i="18" l="1"/>
  <c r="AL123" i="18"/>
  <c r="N31" i="18"/>
  <c r="AK121" i="18" l="1"/>
  <c r="AL122" i="18"/>
  <c r="P50" i="18"/>
  <c r="AK120" i="18" l="1"/>
  <c r="AL121" i="18"/>
  <c r="T16" i="49"/>
  <c r="AK119" i="18" l="1"/>
  <c r="AL120" i="18"/>
  <c r="P16" i="49"/>
  <c r="P17" i="49" s="1"/>
  <c r="Q16" i="49"/>
  <c r="Q17" i="49"/>
  <c r="P15" i="49"/>
  <c r="Q15" i="49"/>
  <c r="U15" i="49"/>
  <c r="S15" i="49"/>
  <c r="R15" i="49" s="1"/>
  <c r="V15" i="49"/>
  <c r="V16" i="49"/>
  <c r="V17" i="49"/>
  <c r="V18" i="49"/>
  <c r="V19" i="49"/>
  <c r="V20" i="49"/>
  <c r="V21" i="49"/>
  <c r="V22" i="49"/>
  <c r="V23" i="49"/>
  <c r="V24" i="49"/>
  <c r="V25" i="49"/>
  <c r="V26" i="49"/>
  <c r="N23" i="33"/>
  <c r="D23" i="33" s="1"/>
  <c r="AK118" i="18" l="1"/>
  <c r="AL119" i="18"/>
  <c r="K23" i="33"/>
  <c r="G23" i="33"/>
  <c r="C23" i="33"/>
  <c r="B23" i="33"/>
  <c r="I23" i="33"/>
  <c r="L23" i="33"/>
  <c r="H23" i="33"/>
  <c r="R23" i="33"/>
  <c r="J23" i="33"/>
  <c r="F23" i="33"/>
  <c r="E23" i="33"/>
  <c r="Q18" i="49"/>
  <c r="P18" i="49" s="1"/>
  <c r="S16" i="49"/>
  <c r="R16" i="49" s="1"/>
  <c r="T15" i="49"/>
  <c r="F26" i="49"/>
  <c r="F4" i="49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26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3" i="49"/>
  <c r="D4" i="49"/>
  <c r="D5" i="49"/>
  <c r="D6" i="49" s="1"/>
  <c r="D7" i="49" s="1"/>
  <c r="D8" i="49" s="1"/>
  <c r="D9" i="49" s="1"/>
  <c r="D10" i="49" s="1"/>
  <c r="D11" i="49" s="1"/>
  <c r="D12" i="49" s="1"/>
  <c r="D13" i="49" s="1"/>
  <c r="D14" i="49" s="1"/>
  <c r="D15" i="49" s="1"/>
  <c r="D16" i="49" s="1"/>
  <c r="D17" i="49" s="1"/>
  <c r="D18" i="49" s="1"/>
  <c r="D19" i="49" s="1"/>
  <c r="D20" i="49" s="1"/>
  <c r="D21" i="49" s="1"/>
  <c r="D22" i="49" s="1"/>
  <c r="D23" i="49" s="1"/>
  <c r="D24" i="49" s="1"/>
  <c r="D3" i="49"/>
  <c r="N3" i="49"/>
  <c r="AK117" i="18" l="1"/>
  <c r="AL118" i="18"/>
  <c r="Q19" i="49"/>
  <c r="P19" i="49" s="1"/>
  <c r="S17" i="49"/>
  <c r="R17" i="49" s="1"/>
  <c r="U16" i="49"/>
  <c r="U17" i="49" s="1"/>
  <c r="T17" i="49" s="1"/>
  <c r="U18" i="49" s="1"/>
  <c r="T18" i="49" s="1"/>
  <c r="P22" i="18"/>
  <c r="N22" i="18" s="1"/>
  <c r="N41" i="18"/>
  <c r="P19" i="18"/>
  <c r="N19" i="18" s="1"/>
  <c r="Q29" i="18" s="1"/>
  <c r="B263" i="15"/>
  <c r="AL117" i="18" l="1"/>
  <c r="AK116" i="18"/>
  <c r="AI135" i="18"/>
  <c r="AI136" i="18" s="1"/>
  <c r="Q20" i="49"/>
  <c r="P20" i="49" s="1"/>
  <c r="S18" i="49"/>
  <c r="R18" i="49" s="1"/>
  <c r="U19" i="49"/>
  <c r="T19" i="49" s="1"/>
  <c r="S39" i="18"/>
  <c r="AK115" i="18" l="1"/>
  <c r="AL116" i="18"/>
  <c r="S40" i="18"/>
  <c r="Q21" i="49"/>
  <c r="P21" i="49" s="1"/>
  <c r="S19" i="49"/>
  <c r="R19" i="49" s="1"/>
  <c r="S20" i="49" s="1"/>
  <c r="R20" i="49" s="1"/>
  <c r="S21" i="49" s="1"/>
  <c r="R21" i="49" s="1"/>
  <c r="U20" i="49"/>
  <c r="T20" i="49" s="1"/>
  <c r="AL115" i="18" l="1"/>
  <c r="AK114" i="18"/>
  <c r="S41" i="18"/>
  <c r="S42" i="18" s="1"/>
  <c r="Q22" i="49"/>
  <c r="P22" i="49"/>
  <c r="U21" i="49"/>
  <c r="T21" i="49" s="1"/>
  <c r="S22" i="49"/>
  <c r="R22" i="49" s="1"/>
  <c r="P39" i="18"/>
  <c r="AL114" i="18" l="1"/>
  <c r="AK113" i="18"/>
  <c r="Q23" i="49"/>
  <c r="P23" i="49"/>
  <c r="U22" i="49"/>
  <c r="T22" i="49" s="1"/>
  <c r="S23" i="49"/>
  <c r="R23" i="49" s="1"/>
  <c r="AK112" i="18" l="1"/>
  <c r="AL113" i="18"/>
  <c r="Q24" i="49"/>
  <c r="P24" i="49" s="1"/>
  <c r="U23" i="49"/>
  <c r="T23" i="49" s="1"/>
  <c r="S24" i="49"/>
  <c r="R24" i="49" s="1"/>
  <c r="C267" i="20"/>
  <c r="AK111" i="18" l="1"/>
  <c r="AL112" i="18"/>
  <c r="S43" i="18"/>
  <c r="Q25" i="49"/>
  <c r="P25" i="49" s="1"/>
  <c r="U24" i="49"/>
  <c r="T24" i="49" s="1"/>
  <c r="S25" i="49"/>
  <c r="R25" i="49" s="1"/>
  <c r="B8" i="36"/>
  <c r="AK110" i="18" l="1"/>
  <c r="AL111" i="18"/>
  <c r="S44" i="18"/>
  <c r="Q26" i="49"/>
  <c r="P26" i="49" s="1"/>
  <c r="U25" i="49"/>
  <c r="T25" i="49" s="1"/>
  <c r="S26" i="49"/>
  <c r="R26" i="49" s="1"/>
  <c r="B10" i="36"/>
  <c r="AK109" i="18" l="1"/>
  <c r="AL110" i="18"/>
  <c r="S45" i="18"/>
  <c r="S46" i="18" s="1"/>
  <c r="S47" i="18" s="1"/>
  <c r="S48" i="18" s="1"/>
  <c r="S49" i="18" s="1"/>
  <c r="S50" i="18" s="1"/>
  <c r="S51" i="18" s="1"/>
  <c r="U26" i="49"/>
  <c r="T26" i="49" s="1"/>
  <c r="AK108" i="18" l="1"/>
  <c r="AL109" i="18"/>
  <c r="N25" i="33"/>
  <c r="N24" i="33"/>
  <c r="N21" i="33"/>
  <c r="N20" i="33"/>
  <c r="N19" i="33"/>
  <c r="N18" i="33"/>
  <c r="L18" i="33" s="1"/>
  <c r="N17" i="33"/>
  <c r="N9" i="33"/>
  <c r="N3" i="33"/>
  <c r="N4" i="33"/>
  <c r="AK107" i="18" l="1"/>
  <c r="AL108" i="18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K106" i="18" l="1"/>
  <c r="AL106" i="18" s="1"/>
  <c r="AL107" i="18"/>
  <c r="AC15" i="33"/>
  <c r="AL131" i="18" l="1"/>
  <c r="AM131" i="18" s="1"/>
  <c r="AI137" i="18" s="1"/>
  <c r="AI138" i="18" s="1"/>
  <c r="N16" i="33"/>
  <c r="AI134" i="18" l="1"/>
  <c r="L16" i="33"/>
  <c r="J16" i="33"/>
  <c r="F16" i="33"/>
  <c r="C16" i="33"/>
  <c r="K16" i="33"/>
  <c r="G16" i="33"/>
  <c r="H16" i="33"/>
  <c r="D16" i="33"/>
  <c r="I16" i="33"/>
  <c r="E16" i="33"/>
  <c r="B16" i="33"/>
  <c r="R16" i="33"/>
  <c r="L29" i="18"/>
  <c r="K242" i="20" l="1"/>
  <c r="K243" i="20"/>
  <c r="K244" i="20"/>
  <c r="K245" i="20"/>
  <c r="K246" i="20"/>
  <c r="K247" i="20"/>
  <c r="K248" i="20"/>
  <c r="K249" i="20"/>
  <c r="K250" i="20"/>
  <c r="K251" i="20"/>
  <c r="K252" i="20"/>
  <c r="K253" i="20"/>
  <c r="K254" i="20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I254" i="20"/>
  <c r="I255" i="20"/>
  <c r="I256" i="20"/>
  <c r="I257" i="20"/>
  <c r="I258" i="20"/>
  <c r="I259" i="20"/>
  <c r="I260" i="20"/>
  <c r="I261" i="20"/>
  <c r="I262" i="20"/>
  <c r="I263" i="20"/>
  <c r="I264" i="20"/>
  <c r="I265" i="20"/>
  <c r="I266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G265" i="20"/>
  <c r="G264" i="20" s="1"/>
  <c r="G263" i="20" s="1"/>
  <c r="G262" i="20" s="1"/>
  <c r="G261" i="20" s="1"/>
  <c r="G260" i="20" s="1"/>
  <c r="G259" i="20" s="1"/>
  <c r="G258" i="20" s="1"/>
  <c r="G257" i="20" s="1"/>
  <c r="G256" i="20" s="1"/>
  <c r="G255" i="20" s="1"/>
  <c r="G254" i="20" s="1"/>
  <c r="G253" i="20" s="1"/>
  <c r="G252" i="20" s="1"/>
  <c r="G251" i="20" s="1"/>
  <c r="G250" i="20" s="1"/>
  <c r="G249" i="20" s="1"/>
  <c r="G248" i="20" s="1"/>
  <c r="G247" i="20" s="1"/>
  <c r="G246" i="20" s="1"/>
  <c r="G245" i="20" s="1"/>
  <c r="G244" i="20" s="1"/>
  <c r="G243" i="20" s="1"/>
  <c r="G242" i="20" s="1"/>
  <c r="G241" i="20" s="1"/>
  <c r="G240" i="20" s="1"/>
  <c r="G239" i="20" s="1"/>
  <c r="G238" i="20" s="1"/>
  <c r="G237" i="20" s="1"/>
  <c r="G236" i="20" s="1"/>
  <c r="G235" i="20" s="1"/>
  <c r="G234" i="20" s="1"/>
  <c r="G233" i="20" s="1"/>
  <c r="G232" i="20" s="1"/>
  <c r="G231" i="20" s="1"/>
  <c r="G230" i="20" s="1"/>
  <c r="G229" i="20" s="1"/>
  <c r="G228" i="20" s="1"/>
  <c r="G227" i="20" s="1"/>
  <c r="G226" i="20" s="1"/>
  <c r="G225" i="20" s="1"/>
  <c r="G224" i="20" s="1"/>
  <c r="G223" i="20" s="1"/>
  <c r="G222" i="20" s="1"/>
  <c r="G221" i="20" s="1"/>
  <c r="G220" i="20" s="1"/>
  <c r="G219" i="20" s="1"/>
  <c r="G218" i="20" s="1"/>
  <c r="G217" i="20" s="1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K241" i="20" s="1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I241" i="20" l="1"/>
  <c r="J241" i="20"/>
  <c r="K240" i="20"/>
  <c r="J240" i="20"/>
  <c r="I240" i="20"/>
  <c r="K239" i="20"/>
  <c r="J239" i="20"/>
  <c r="K238" i="20"/>
  <c r="I239" i="20"/>
  <c r="J238" i="20"/>
  <c r="K237" i="20"/>
  <c r="I238" i="20"/>
  <c r="I237" i="20"/>
  <c r="K236" i="20"/>
  <c r="J235" i="20"/>
  <c r="J237" i="20"/>
  <c r="J236" i="20"/>
  <c r="I235" i="20"/>
  <c r="J234" i="20"/>
  <c r="I236" i="20"/>
  <c r="K235" i="20"/>
  <c r="K234" i="20"/>
  <c r="I234" i="20"/>
  <c r="K233" i="20"/>
  <c r="I233" i="20"/>
  <c r="J233" i="20"/>
  <c r="J232" i="20"/>
  <c r="I232" i="20"/>
  <c r="K232" i="20"/>
  <c r="I231" i="20"/>
  <c r="J231" i="20"/>
  <c r="K231" i="20"/>
  <c r="K230" i="20"/>
  <c r="J230" i="20"/>
  <c r="I229" i="20"/>
  <c r="I230" i="20"/>
  <c r="K229" i="20"/>
  <c r="J229" i="20"/>
  <c r="K228" i="20"/>
  <c r="I228" i="20"/>
  <c r="K227" i="20"/>
  <c r="J228" i="20"/>
  <c r="K226" i="20"/>
  <c r="J227" i="20"/>
  <c r="D267" i="20"/>
  <c r="I227" i="20"/>
  <c r="J226" i="20"/>
  <c r="I226" i="20"/>
  <c r="K225" i="20"/>
  <c r="I225" i="20"/>
  <c r="K224" i="20"/>
  <c r="J225" i="20"/>
  <c r="I224" i="20"/>
  <c r="K223" i="20"/>
  <c r="J224" i="20"/>
  <c r="J223" i="20"/>
  <c r="I223" i="20"/>
  <c r="I222" i="20"/>
  <c r="K222" i="20"/>
  <c r="J222" i="20"/>
  <c r="I221" i="20"/>
  <c r="J220" i="20"/>
  <c r="K220" i="20"/>
  <c r="J221" i="20"/>
  <c r="K221" i="20"/>
  <c r="I220" i="20"/>
  <c r="J219" i="20"/>
  <c r="K219" i="20"/>
  <c r="I219" i="20"/>
  <c r="B267" i="20"/>
  <c r="N39" i="18" l="1"/>
  <c r="AQ14" i="18" l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N27" i="18" l="1"/>
  <c r="D28" i="46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6" i="20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K218" i="20" s="1"/>
  <c r="I218" i="20" l="1"/>
  <c r="J218" i="20"/>
  <c r="J217" i="20"/>
  <c r="I217" i="20"/>
  <c r="K217" i="20"/>
  <c r="K216" i="20"/>
  <c r="I216" i="20"/>
  <c r="J216" i="20"/>
  <c r="J215" i="20"/>
  <c r="K215" i="20"/>
  <c r="I215" i="20"/>
  <c r="K214" i="20"/>
  <c r="J214" i="20"/>
  <c r="I214" i="20"/>
  <c r="K213" i="20"/>
  <c r="J213" i="20"/>
  <c r="I213" i="20"/>
  <c r="I212" i="20"/>
  <c r="K212" i="20"/>
  <c r="K211" i="20"/>
  <c r="J211" i="20"/>
  <c r="J212" i="20"/>
  <c r="I211" i="20"/>
  <c r="J210" i="20"/>
  <c r="K210" i="20"/>
  <c r="I210" i="20"/>
  <c r="J209" i="20"/>
  <c r="K209" i="20"/>
  <c r="I209" i="20"/>
  <c r="K208" i="20"/>
  <c r="I208" i="20"/>
  <c r="J207" i="20"/>
  <c r="K207" i="20"/>
  <c r="J208" i="20"/>
  <c r="I207" i="20"/>
  <c r="K206" i="20"/>
  <c r="I206" i="20"/>
  <c r="J206" i="20"/>
  <c r="AK79" i="18" l="1"/>
  <c r="G25" i="46"/>
  <c r="H25" i="46"/>
  <c r="D25" i="46"/>
  <c r="I25" i="46" s="1"/>
  <c r="AK78" i="18" l="1"/>
  <c r="AL79" i="18"/>
  <c r="D88" i="46"/>
  <c r="G24" i="46"/>
  <c r="H24" i="46"/>
  <c r="D24" i="46"/>
  <c r="I24" i="46" s="1"/>
  <c r="G23" i="46"/>
  <c r="H23" i="46"/>
  <c r="D23" i="46"/>
  <c r="I23" i="46" s="1"/>
  <c r="AK77" i="18" l="1"/>
  <c r="AL78" i="18"/>
  <c r="N50" i="18"/>
  <c r="AK76" i="18" l="1"/>
  <c r="AL77" i="18"/>
  <c r="AK75" i="18" l="1"/>
  <c r="AL76" i="18"/>
  <c r="N38" i="18"/>
  <c r="AI95" i="18" l="1"/>
  <c r="AI96" i="18" s="1"/>
  <c r="Q53" i="18"/>
  <c r="AK74" i="18"/>
  <c r="AL75" i="18"/>
  <c r="AK73" i="18" l="1"/>
  <c r="AL74" i="18"/>
  <c r="R64" i="18"/>
  <c r="V27" i="18" l="1"/>
  <c r="V51" i="18"/>
  <c r="V49" i="18"/>
  <c r="V50" i="18"/>
  <c r="V47" i="18"/>
  <c r="V48" i="18"/>
  <c r="V43" i="18"/>
  <c r="V46" i="18"/>
  <c r="V22" i="18"/>
  <c r="V24" i="18"/>
  <c r="V38" i="18"/>
  <c r="V25" i="18"/>
  <c r="V26" i="18"/>
  <c r="V20" i="18"/>
  <c r="V21" i="18"/>
  <c r="V23" i="18"/>
  <c r="V39" i="18"/>
  <c r="V40" i="18"/>
  <c r="V41" i="18"/>
  <c r="V42" i="18"/>
  <c r="V44" i="18"/>
  <c r="V45" i="18"/>
  <c r="AK72" i="18"/>
  <c r="AL73" i="18"/>
  <c r="AK71" i="18" l="1"/>
  <c r="AL72" i="18"/>
  <c r="AK70" i="18" l="1"/>
  <c r="AL71" i="18"/>
  <c r="AK69" i="18" l="1"/>
  <c r="AL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K68" i="18" l="1"/>
  <c r="AL69" i="18"/>
  <c r="N2" i="33"/>
  <c r="AK67" i="18" l="1"/>
  <c r="AL68" i="18"/>
  <c r="I2" i="33"/>
  <c r="E2" i="33"/>
  <c r="J2" i="33"/>
  <c r="F2" i="33"/>
  <c r="K2" i="33"/>
  <c r="G2" i="33"/>
  <c r="D2" i="33"/>
  <c r="C2" i="33"/>
  <c r="H2" i="33"/>
  <c r="D73" i="45"/>
  <c r="AK66" i="18" l="1"/>
  <c r="AL67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K65" i="18" l="1"/>
  <c r="AL66" i="18"/>
  <c r="E45" i="14"/>
  <c r="AK64" i="18" l="1"/>
  <c r="AL65" i="18"/>
  <c r="E44" i="14"/>
  <c r="AL64" i="18" l="1"/>
  <c r="AK63" i="18"/>
  <c r="E43" i="14"/>
  <c r="AK62" i="18" l="1"/>
  <c r="AL63" i="18"/>
  <c r="E42" i="14"/>
  <c r="G42" i="14" s="1"/>
  <c r="AK61" i="18" l="1"/>
  <c r="AL62" i="18"/>
  <c r="E41" i="14"/>
  <c r="G41" i="14" s="1"/>
  <c r="AL61" i="18" l="1"/>
  <c r="AK60" i="18"/>
  <c r="E40" i="14"/>
  <c r="G40" i="14" s="1"/>
  <c r="AK59" i="18" l="1"/>
  <c r="AL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AL59" i="18" l="1"/>
  <c r="AK58" i="18"/>
  <c r="G203" i="20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E38" i="14"/>
  <c r="G38" i="14" s="1"/>
  <c r="AK57" i="18" l="1"/>
  <c r="AL58" i="18"/>
  <c r="J180" i="20"/>
  <c r="I187" i="20"/>
  <c r="J188" i="20"/>
  <c r="I196" i="20"/>
  <c r="I190" i="20"/>
  <c r="K176" i="20"/>
  <c r="K175" i="20"/>
  <c r="I197" i="20"/>
  <c r="I186" i="20"/>
  <c r="I200" i="20"/>
  <c r="J191" i="20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E37" i="14"/>
  <c r="G37" i="14" s="1"/>
  <c r="AK56" i="18" l="1"/>
  <c r="AL57" i="18"/>
  <c r="E36" i="14"/>
  <c r="G36" i="14" s="1"/>
  <c r="B105" i="13"/>
  <c r="B196" i="13" s="1"/>
  <c r="F105" i="13" l="1"/>
  <c r="AL56" i="18"/>
  <c r="AK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L55" i="18" l="1"/>
  <c r="AK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AK53" i="18" l="1"/>
  <c r="AL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C27" i="50" l="1"/>
  <c r="H2" i="50"/>
  <c r="H28" i="50" s="1"/>
  <c r="AL53" i="18"/>
  <c r="AK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G33" i="48" l="1"/>
  <c r="H33" i="48" s="1"/>
  <c r="B27" i="50"/>
  <c r="D2" i="50"/>
  <c r="G2" i="50"/>
  <c r="G28" i="50" s="1"/>
  <c r="H33" i="50" s="1"/>
  <c r="AK51" i="18"/>
  <c r="AL52" i="18"/>
  <c r="D27" i="48"/>
  <c r="E253" i="15"/>
  <c r="E252" i="15"/>
  <c r="I33" i="48" l="1"/>
  <c r="I2" i="50"/>
  <c r="I28" i="50" s="1"/>
  <c r="I33" i="50" s="1"/>
  <c r="D27" i="50"/>
  <c r="AK50" i="18"/>
  <c r="AL51" i="18"/>
  <c r="E251" i="15"/>
  <c r="E250" i="15"/>
  <c r="D171" i="20"/>
  <c r="AL50" i="18" l="1"/>
  <c r="AK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K48" i="18" l="1"/>
  <c r="AL49" i="18"/>
  <c r="E30" i="14"/>
  <c r="G31" i="14"/>
  <c r="E248" i="15"/>
  <c r="AK47" i="18" l="1"/>
  <c r="AL48" i="18"/>
  <c r="E29" i="14"/>
  <c r="G30" i="14"/>
  <c r="E247" i="15"/>
  <c r="E246" i="15"/>
  <c r="AK46" i="18" l="1"/>
  <c r="AL47" i="18"/>
  <c r="E28" i="14"/>
  <c r="G29" i="14"/>
  <c r="E245" i="15"/>
  <c r="AL46" i="18" l="1"/>
  <c r="AK45" i="18"/>
  <c r="E27" i="14"/>
  <c r="G28" i="14"/>
  <c r="N15" i="33"/>
  <c r="E244" i="15"/>
  <c r="AK44" i="18" l="1"/>
  <c r="AL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AK43" i="18" l="1"/>
  <c r="AL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AL43" i="18" l="1"/>
  <c r="AK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K41" i="18" l="1"/>
  <c r="AL42" i="18"/>
  <c r="E23" i="14"/>
  <c r="G24" i="14"/>
  <c r="H25" i="43"/>
  <c r="G2" i="43"/>
  <c r="G25" i="43" s="1"/>
  <c r="G30" i="43" s="1"/>
  <c r="H30" i="43" s="1"/>
  <c r="AL41" i="18" l="1"/>
  <c r="AK40" i="18"/>
  <c r="E22" i="14"/>
  <c r="G23" i="14"/>
  <c r="I2" i="43"/>
  <c r="I25" i="43" s="1"/>
  <c r="I30" i="43" s="1"/>
  <c r="D24" i="43"/>
  <c r="AK39" i="18" l="1"/>
  <c r="AL40" i="18"/>
  <c r="E21" i="14"/>
  <c r="E20" i="14" s="1"/>
  <c r="E19" i="14" s="1"/>
  <c r="E18" i="14" s="1"/>
  <c r="G22" i="14"/>
  <c r="E243" i="15"/>
  <c r="AL39" i="18" l="1"/>
  <c r="AK38" i="18"/>
  <c r="E242" i="15"/>
  <c r="AK37" i="18" l="1"/>
  <c r="AL38" i="18"/>
  <c r="J57" i="33"/>
  <c r="J55" i="33"/>
  <c r="J54" i="33"/>
  <c r="AK36" i="18" l="1"/>
  <c r="AL37" i="18"/>
  <c r="L57" i="33"/>
  <c r="E241" i="15"/>
  <c r="AL36" i="18" l="1"/>
  <c r="AK35" i="18"/>
  <c r="D168" i="20"/>
  <c r="AK34" i="18" l="1"/>
  <c r="AL35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K33" i="18" l="1"/>
  <c r="AL34" i="18"/>
  <c r="D252" i="15"/>
  <c r="F253" i="15"/>
  <c r="AK32" i="18" l="1"/>
  <c r="AL33" i="18"/>
  <c r="D251" i="15"/>
  <c r="F252" i="15"/>
  <c r="AK31" i="18" l="1"/>
  <c r="AL32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K30" i="18" l="1"/>
  <c r="AL31" i="18"/>
  <c r="D249" i="15"/>
  <c r="F250" i="15"/>
  <c r="L60" i="32"/>
  <c r="L48" i="32"/>
  <c r="AK29" i="18" l="1"/>
  <c r="AL30" i="18"/>
  <c r="F249" i="15"/>
  <c r="D248" i="15"/>
  <c r="AL29" i="18" l="1"/>
  <c r="AK28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93" i="13" l="1"/>
  <c r="AK27" i="18"/>
  <c r="AL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K26" i="18" l="1"/>
  <c r="AL27" i="18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K25" i="18" l="1"/>
  <c r="AL26" i="18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AK24" i="18" l="1"/>
  <c r="AL25" i="18"/>
  <c r="E178" i="13"/>
  <c r="G179" i="13"/>
  <c r="D243" i="15"/>
  <c r="F244" i="15"/>
  <c r="AL24" i="18" l="1"/>
  <c r="AK23" i="18"/>
  <c r="E177" i="13"/>
  <c r="G178" i="13"/>
  <c r="F243" i="15"/>
  <c r="D242" i="15"/>
  <c r="AL23" i="18" l="1"/>
  <c r="AK22" i="18"/>
  <c r="E176" i="13"/>
  <c r="G177" i="13"/>
  <c r="F242" i="15"/>
  <c r="D241" i="15"/>
  <c r="D165" i="20"/>
  <c r="AK21" i="18" l="1"/>
  <c r="AK20" i="18" s="1"/>
  <c r="AL22" i="18"/>
  <c r="E175" i="13"/>
  <c r="G176" i="13"/>
  <c r="F241" i="15"/>
  <c r="D240" i="15"/>
  <c r="D164" i="20"/>
  <c r="AL21" i="18" l="1"/>
  <c r="AL20" i="18"/>
  <c r="E174" i="13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AL89" i="18" l="1"/>
  <c r="AM89" i="18" s="1"/>
  <c r="E173" i="13"/>
  <c r="G174" i="13"/>
  <c r="D238" i="15"/>
  <c r="F239" i="15"/>
  <c r="X720" i="41"/>
  <c r="U2123" i="41"/>
  <c r="AI94" i="18" l="1"/>
  <c r="AI98" i="18" s="1"/>
  <c r="E172" i="13"/>
  <c r="G173" i="13"/>
  <c r="D237" i="15"/>
  <c r="F238" i="15"/>
  <c r="D62" i="38"/>
  <c r="AI97" i="18" l="1"/>
  <c r="E171" i="13"/>
  <c r="G172" i="13"/>
  <c r="F237" i="15"/>
  <c r="D236" i="15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E167" i="13" l="1"/>
  <c r="G168" i="13"/>
  <c r="D232" i="15"/>
  <c r="F233" i="15"/>
  <c r="D162" i="20"/>
  <c r="E166" i="13" l="1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2" i="16" l="1"/>
  <c r="E165" i="13"/>
  <c r="G166" i="13"/>
  <c r="F231" i="15"/>
  <c r="D230" i="15"/>
  <c r="G71" i="16"/>
  <c r="G70" i="16"/>
  <c r="G69" i="16"/>
  <c r="D160" i="20"/>
  <c r="E164" i="13" l="1"/>
  <c r="G165" i="13"/>
  <c r="F230" i="15"/>
  <c r="D229" i="15"/>
  <c r="D159" i="20"/>
  <c r="E163" i="13" l="1"/>
  <c r="G164" i="13"/>
  <c r="F229" i="15"/>
  <c r="D228" i="15"/>
  <c r="D158" i="20"/>
  <c r="D157" i="20"/>
  <c r="E162" i="13" l="1"/>
  <c r="G163" i="13"/>
  <c r="F228" i="15"/>
  <c r="D227" i="15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E150" i="13" l="1"/>
  <c r="G151" i="13"/>
  <c r="E149" i="13" l="1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E148" i="13" l="1"/>
  <c r="G149" i="13"/>
  <c r="E147" i="13" l="1"/>
  <c r="G148" i="13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G45" i="10"/>
  <c r="D42" i="34"/>
  <c r="E143" i="13" l="1"/>
  <c r="G144" i="13"/>
  <c r="AC16" i="32"/>
  <c r="AD16" i="32"/>
  <c r="AB16" i="32"/>
  <c r="E142" i="13" l="1"/>
  <c r="G143" i="13"/>
  <c r="E141" i="13" l="1"/>
  <c r="G142" i="13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34" i="33"/>
  <c r="B34" i="33" l="1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E131" i="13" l="1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B30" i="33" l="1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K103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83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52" i="18" s="1"/>
  <c r="D27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53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84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53" i="18" l="1"/>
  <c r="L52" i="18"/>
  <c r="E33" i="13"/>
  <c r="G34" i="13"/>
  <c r="I97" i="20"/>
  <c r="K97" i="20"/>
  <c r="J97" i="20"/>
  <c r="F108" i="15"/>
  <c r="C20" i="18"/>
  <c r="G20" i="14"/>
  <c r="G21" i="14"/>
  <c r="L54" i="18" l="1"/>
  <c r="F21" i="18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67" i="20" s="1"/>
  <c r="J2" i="20"/>
  <c r="J267" i="20" s="1"/>
  <c r="I2" i="20"/>
  <c r="I267" i="20" s="1"/>
  <c r="F13" i="15"/>
  <c r="I270" i="20" l="1"/>
  <c r="J270" i="20"/>
  <c r="K270" i="20"/>
  <c r="F12" i="15"/>
  <c r="J274" i="20" l="1"/>
  <c r="K27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<sst xmlns="http://schemas.openxmlformats.org/spreadsheetml/2006/main" count="9431" uniqueCount="4472">
  <si>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</si>
  <si>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</si>
  <si>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</si>
  <si>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</si>
  <si>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</si>
  <si>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</si>
  <si>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</si>
  <si>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</si>
  <si>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</si>
  <si>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</si>
  <si>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</si>
  <si>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</si>
  <si>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</si>
  <si>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</si>
  <si>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</si>
  <si>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</si>
  <si>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</si>
  <si>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</si>
  <si>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</si>
  <si>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</si>
  <si>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</si>
  <si>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</si>
  <si>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</si>
  <si>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</si>
  <si>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</si>
  <si>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</si>
  <si>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</si>
  <si>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</si>
  <si>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</si>
  <si>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</si>
  <si>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</si>
  <si>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</si>
  <si>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</si>
  <si>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</si>
  <si>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</si>
  <si>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</si>
  <si>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</si>
  <si>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</si>
  <si>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</si>
  <si>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</si>
  <si>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</si>
  <si>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</si>
  <si>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</si>
  <si>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</si>
  <si>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</si>
  <si>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</si>
  <si>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</si>
  <si>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</si>
  <si>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</si>
  <si>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</si>
  <si>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</si>
  <si>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</si>
  <si>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</si>
  <si>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</si>
  <si>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</si>
  <si>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</si>
  <si>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</si>
  <si>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</si>
  <si>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</si>
  <si>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</si>
  <si>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</si>
  <si>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</si>
  <si>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</si>
  <si>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</si>
  <si>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</si>
  <si>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</si>
  <si>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</si>
  <si>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</si>
  <si>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</si>
  <si>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</si>
  <si>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</si>
  <si>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</si>
  <si>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</si>
  <si>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</si>
  <si>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</si>
  <si>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</si>
  <si>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</si>
  <si>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</si>
  <si>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</si>
  <si>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</si>
  <si>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</si>
  <si>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</si>
  <si>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</si>
  <si>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</si>
  <si>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</si>
  <si>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</si>
  <si>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</si>
  <si>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</si>
  <si>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</si>
  <si>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</si>
  <si>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</si>
  <si>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</si>
  <si>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</si>
  <si>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</si>
  <si>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</si>
  <si>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</si>
  <si>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</si>
  <si>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</si>
  <si>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</si>
  <si>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</si>
  <si>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</si>
  <si>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</si>
  <si>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</si>
  <si>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</si>
  <si>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</si>
  <si>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</si>
  <si>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</si>
  <si>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</si>
  <si>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</si>
  <si>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</si>
  <si>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</si>
  <si>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</si>
  <si>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</si>
  <si>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</si>
  <si>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</si>
  <si>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</si>
  <si>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</si>
  <si>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</si>
  <si>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</si>
  <si>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</si>
  <si>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</si>
  <si>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</si>
  <si>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</si>
  <si>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</si>
  <si>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</si>
  <si>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</si>
  <si>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</si>
  <si>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</si>
  <si>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</si>
  <si>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</si>
  <si>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</si>
  <si>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</si>
  <si>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</si>
  <si>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</si>
  <si>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</si>
  <si>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</si>
  <si>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</si>
  <si>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</si>
  <si>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</si>
  <si>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</si>
  <si>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</si>
  <si>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</si>
  <si>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</si>
  <si>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</si>
  <si>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</si>
  <si>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</si>
  <si>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</si>
  <si>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</si>
  <si>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</si>
  <si>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</si>
  <si>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</si>
  <si>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</si>
  <si>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</si>
  <si>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</si>
  <si>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</si>
  <si>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</si>
  <si>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</si>
  <si>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</si>
  <si>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</si>
  <si>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</si>
  <si>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</si>
  <si>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</si>
  <si>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</si>
  <si>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</si>
  <si>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</si>
  <si>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</si>
  <si>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</si>
  <si>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</si>
  <si>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</si>
  <si>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</si>
  <si>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</si>
  <si>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</si>
  <si>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</si>
  <si>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</si>
  <si>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</si>
  <si>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</si>
  <si>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</si>
  <si>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</si>
  <si>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</si>
  <si>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</si>
  <si>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</si>
  <si>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</si>
  <si>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</si>
  <si>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</si>
  <si>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</si>
  <si>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</si>
  <si>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</si>
  <si>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</si>
  <si>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</si>
  <si>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</si>
  <si>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</si>
  <si>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</si>
  <si>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</si>
  <si>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</si>
  <si>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</si>
  <si>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</si>
  <si>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</si>
  <si>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</si>
  <si>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</si>
  <si>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</si>
  <si>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</si>
  <si>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</si>
  <si>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</si>
  <si>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</si>
  <si>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</si>
  <si>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</si>
  <si>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</si>
  <si>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</si>
  <si>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</si>
  <si>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</si>
  <si>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</si>
  <si>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</si>
  <si>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</si>
  <si>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</si>
  <si>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</si>
  <si>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</si>
  <si>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</si>
  <si>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</si>
  <si>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</si>
  <si>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</si>
  <si>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</si>
  <si>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</si>
  <si>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</si>
  <si>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</si>
  <si>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</si>
  <si>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</si>
  <si>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</si>
  <si>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</si>
  <si>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</si>
  <si>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</si>
  <si>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</si>
  <si>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</si>
  <si>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</si>
  <si>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</si>
  <si>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</si>
  <si>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</si>
  <si>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</si>
  <si>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</si>
  <si>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</si>
  <si>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</si>
  <si>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</si>
  <si>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</si>
  <si>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</si>
  <si>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</si>
  <si>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</si>
  <si>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</si>
  <si>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</si>
  <si>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</si>
  <si>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</si>
  <si>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</si>
  <si>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</si>
  <si>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</si>
  <si>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</si>
  <si>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</si>
  <si>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</si>
  <si>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</si>
  <si>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</si>
  <si>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</si>
  <si>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</si>
  <si>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</si>
  <si>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</si>
  <si>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</si>
  <si>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</si>
  <si>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</si>
  <si>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</si>
  <si>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</si>
  <si>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</si>
  <si>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</si>
  <si>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</si>
  <si>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</si>
  <si>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</si>
  <si>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</si>
  <si>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</si>
  <si>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</si>
  <si>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</si>
  <si>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</si>
  <si>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</si>
  <si>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</si>
  <si>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</si>
  <si>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</si>
  <si>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</si>
  <si>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</si>
  <si>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</si>
  <si>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</si>
  <si>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</si>
  <si>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</si>
  <si>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</si>
  <si>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</si>
  <si>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</si>
  <si>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</si>
  <si>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</si>
  <si>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</si>
  <si>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</si>
  <si>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</si>
  <si>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</si>
  <si>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</si>
  <si>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</si>
  <si>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</si>
  <si>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</si>
  <si>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</si>
  <si>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</si>
  <si>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</si>
  <si>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</si>
  <si>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</si>
  <si>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</si>
  <si>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</si>
  <si>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</si>
  <si>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</si>
  <si>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</si>
  <si>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</si>
  <si>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</si>
  <si>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</si>
  <si>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</si>
  <si>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</si>
  <si>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</si>
  <si>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</si>
  <si>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</si>
  <si>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</si>
  <si>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</si>
  <si>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</si>
  <si>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</si>
  <si>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</si>
  <si>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</si>
  <si>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</si>
  <si>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</si>
  <si>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</si>
  <si>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</si>
  <si>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</si>
  <si>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</si>
  <si>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</si>
  <si>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</si>
  <si>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</si>
  <si>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</si>
  <si>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</si>
  <si>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</si>
  <si>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</si>
  <si>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</si>
  <si>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</si>
  <si>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</si>
  <si>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</si>
  <si>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</si>
  <si>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</si>
  <si>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</si>
  <si>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</si>
  <si>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</si>
  <si>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</si>
  <si>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</si>
  <si>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</si>
  <si>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</si>
  <si>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</si>
  <si>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</si>
  <si>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</si>
  <si>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</si>
  <si>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</si>
  <si>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</si>
  <si>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</si>
  <si>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</si>
  <si>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</si>
  <si>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</si>
  <si>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</si>
  <si>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</si>
  <si>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</si>
  <si>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</si>
  <si>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</si>
  <si>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</si>
  <si>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</si>
  <si>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</si>
  <si>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</si>
  <si>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</si>
  <si>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</si>
  <si>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</si>
  <si>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</si>
  <si>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</si>
  <si>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</si>
  <si>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</si>
  <si>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</si>
  <si>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</si>
  <si>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</si>
  <si>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</si>
  <si>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</si>
  <si>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</si>
  <si>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</si>
  <si>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</si>
  <si>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</si>
  <si>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</si>
  <si>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</si>
  <si>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</si>
  <si>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</si>
  <si>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</si>
  <si>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</si>
  <si>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</si>
  <si>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</si>
  <si>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</si>
  <si>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</si>
  <si>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</si>
  <si>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</si>
  <si>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</si>
  <si>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</si>
  <si>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</si>
  <si>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</si>
  <si>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</si>
  <si>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</si>
  <si>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</si>
  <si>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</si>
  <si>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</si>
  <si>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</si>
  <si>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</si>
  <si>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</si>
  <si>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</si>
  <si>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</si>
  <si>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</si>
  <si>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</si>
  <si>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</si>
  <si>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</si>
  <si>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</si>
  <si>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</si>
  <si>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</si>
  <si>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</si>
  <si>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</si>
  <si>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</si>
  <si>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</si>
  <si>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</si>
  <si>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</si>
  <si>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</si>
  <si>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</si>
  <si>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</si>
  <si>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</si>
  <si>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</si>
  <si>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</si>
  <si>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</si>
  <si>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</si>
  <si>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</si>
  <si>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</si>
  <si>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</si>
  <si>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</si>
  <si>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</si>
  <si>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</si>
  <si>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</si>
  <si>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</si>
  <si>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</si>
  <si>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</si>
  <si>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</si>
  <si>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</si>
  <si>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</si>
  <si>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</si>
  <si>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</si>
  <si>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</si>
  <si>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</si>
  <si>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</si>
  <si>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</si>
  <si>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</si>
  <si>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</si>
  <si>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</si>
  <si>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</si>
  <si>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</si>
  <si>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</si>
  <si>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</si>
  <si>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</si>
  <si>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</si>
  <si>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</si>
  <si>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</si>
  <si>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</si>
  <si>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</si>
  <si>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</si>
  <si>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</si>
  <si>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</si>
  <si>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</si>
  <si>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</si>
  <si>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</si>
  <si>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</si>
  <si>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</si>
  <si>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</si>
  <si>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</si>
  <si>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</si>
  <si>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</si>
  <si>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</si>
  <si>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</si>
  <si>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</si>
  <si>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</si>
  <si>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</si>
  <si>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</si>
  <si>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</si>
  <si>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</si>
  <si>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</si>
  <si>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</si>
  <si>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</si>
  <si>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</si>
  <si>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</si>
  <si>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</si>
  <si>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</si>
  <si>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</si>
  <si>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</si>
  <si>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</si>
  <si>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</si>
  <si>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</si>
  <si>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</si>
  <si>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</si>
  <si>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</si>
  <si>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</si>
  <si>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</si>
  <si>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</si>
  <si>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</si>
  <si>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</si>
  <si>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</si>
  <si>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</si>
  <si>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</si>
  <si>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</si>
  <si>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</si>
  <si>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</si>
  <si>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</si>
  <si>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</si>
  <si>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</si>
  <si>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</si>
  <si>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</si>
  <si>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</si>
  <si>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</si>
  <si>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</si>
  <si>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</si>
  <si>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</si>
  <si>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</si>
  <si>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</si>
  <si>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</si>
  <si>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</si>
  <si>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</si>
  <si>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</si>
  <si>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</si>
  <si>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</si>
  <si>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</si>
  <si>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</si>
  <si>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</si>
  <si>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</si>
  <si>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</si>
  <si>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</si>
  <si>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</si>
  <si>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</si>
  <si>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</si>
  <si>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</si>
  <si>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</si>
  <si>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</si>
  <si>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</si>
  <si>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</si>
  <si>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</si>
  <si>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</si>
  <si>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</si>
  <si>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</si>
  <si>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</si>
  <si>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</si>
  <si>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</si>
  <si>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</si>
  <si>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</si>
  <si>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</si>
  <si>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</si>
  <si>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</si>
  <si>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</si>
  <si>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</si>
  <si>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</si>
  <si>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</si>
  <si>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</si>
  <si>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</si>
  <si>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</si>
  <si>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</si>
  <si>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</si>
  <si>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</si>
  <si>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</si>
  <si>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</si>
  <si>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</si>
  <si>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</si>
  <si>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</si>
  <si>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</si>
  <si>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</si>
  <si>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</si>
  <si>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</si>
  <si>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</si>
  <si>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</si>
  <si>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</si>
  <si>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</si>
  <si>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</si>
  <si>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</si>
  <si>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</si>
  <si>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</si>
  <si>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</si>
  <si>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</si>
  <si>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</si>
  <si>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</si>
  <si>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</si>
  <si>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</si>
  <si>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</si>
  <si>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</si>
  <si>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</si>
  <si>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</si>
  <si>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</si>
  <si>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</si>
  <si>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</si>
  <si>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</si>
  <si>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</si>
  <si>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</si>
  <si>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</si>
  <si>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</si>
  <si>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</si>
  <si>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</si>
  <si>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</si>
  <si>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</si>
  <si>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</si>
  <si>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</si>
  <si>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</si>
  <si>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</si>
  <si>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</si>
  <si>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</si>
  <si>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</si>
  <si>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</si>
  <si>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</si>
  <si>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</si>
  <si>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</si>
  <si>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</si>
  <si>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</si>
  <si>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</si>
  <si>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</si>
  <si>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</si>
  <si>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</si>
  <si>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</si>
  <si>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</si>
  <si>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</si>
  <si>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</si>
  <si>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</si>
  <si>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</si>
  <si>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</si>
  <si>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</si>
  <si>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</si>
  <si>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</si>
  <si>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</si>
  <si>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</si>
  <si>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</si>
  <si>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</si>
  <si>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</si>
  <si>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</si>
  <si>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</si>
  <si>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</si>
  <si>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</si>
  <si>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</si>
  <si>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</si>
  <si>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</si>
  <si>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</si>
  <si>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</si>
  <si>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</si>
  <si>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</si>
  <si>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</si>
  <si>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</si>
  <si>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</si>
  <si>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</si>
  <si>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</si>
  <si>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</si>
  <si>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</si>
  <si>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</si>
  <si>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</si>
  <si>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</si>
  <si>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</si>
  <si>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</si>
  <si>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</si>
  <si>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</si>
  <si>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</si>
  <si>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</si>
  <si>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</si>
  <si>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</si>
  <si>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</si>
  <si>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</si>
  <si>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</si>
  <si>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</si>
  <si>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</si>
  <si>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</si>
  <si>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</si>
  <si>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</si>
  <si>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</si>
  <si>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</si>
  <si>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</si>
  <si>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</si>
  <si>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</si>
  <si>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</si>
  <si>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</si>
  <si>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</si>
  <si>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</si>
  <si>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</si>
  <si>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</si>
  <si>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</si>
  <si>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</si>
  <si>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</si>
  <si>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</si>
  <si>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</si>
  <si>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</si>
  <si>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</si>
  <si>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</si>
  <si>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</si>
  <si>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</si>
  <si>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</si>
  <si>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</si>
  <si>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</si>
  <si>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</si>
  <si>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</si>
  <si>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</si>
  <si>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</si>
  <si>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</si>
  <si>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</si>
  <si>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</si>
  <si>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</si>
  <si>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</si>
  <si>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</si>
  <si>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</si>
  <si>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</si>
  <si>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</si>
  <si>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</si>
  <si>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</si>
  <si>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</si>
  <si>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</si>
  <si>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</si>
  <si>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</si>
  <si>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</si>
  <si>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</si>
  <si>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</si>
  <si>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</si>
  <si>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</si>
  <si>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</si>
  <si>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</si>
  <si>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</si>
  <si>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</si>
  <si>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</si>
  <si>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</si>
  <si>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</si>
  <si>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</si>
  <si>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</si>
  <si>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</si>
  <si>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</si>
  <si>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</si>
  <si>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</si>
  <si>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</si>
  <si>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</si>
  <si>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</si>
  <si>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</si>
  <si>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</si>
  <si>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</si>
  <si>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</si>
  <si>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</si>
  <si>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</si>
  <si>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</si>
  <si>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</si>
  <si>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</si>
  <si>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</si>
  <si>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</si>
  <si>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</si>
  <si>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</si>
  <si>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</si>
  <si>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</si>
  <si>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</si>
  <si>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</si>
  <si>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</si>
  <si>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</si>
  <si>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</si>
  <si>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</si>
  <si>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</si>
  <si>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</si>
  <si>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</si>
  <si>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</si>
  <si>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</si>
  <si>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</si>
  <si>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</si>
  <si>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</si>
  <si>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</si>
  <si>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</si>
  <si>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</si>
  <si>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</si>
  <si>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</si>
  <si>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</si>
  <si>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</si>
  <si>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</si>
  <si>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</si>
  <si>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</si>
  <si>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</si>
  <si>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</si>
  <si>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</si>
  <si>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</si>
  <si>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</si>
  <si>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</si>
  <si>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</si>
  <si>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</si>
  <si>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</si>
  <si>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</si>
  <si>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</si>
  <si>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</si>
  <si>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</si>
  <si>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</si>
  <si>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</si>
  <si>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</si>
  <si>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</si>
  <si>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</si>
  <si>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</si>
  <si>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</si>
  <si>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</si>
  <si>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</si>
  <si>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</si>
  <si>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</si>
  <si>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</si>
  <si>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</si>
  <si>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</si>
  <si>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</si>
  <si>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</si>
  <si>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</si>
  <si>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</si>
  <si>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</si>
  <si>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</si>
  <si>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</si>
  <si>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</si>
  <si>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</si>
  <si>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</si>
  <si>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</si>
  <si>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</si>
  <si>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</si>
  <si>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</si>
  <si>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</si>
  <si>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</si>
  <si>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</si>
  <si>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</si>
  <si>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</si>
  <si>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</si>
  <si>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</si>
  <si>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</si>
  <si>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</si>
  <si>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</si>
  <si>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</si>
  <si>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</si>
  <si>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</si>
  <si>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</si>
  <si>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</si>
  <si>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</si>
  <si>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</si>
  <si>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</si>
  <si>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</si>
  <si>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</si>
  <si>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</si>
  <si>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</si>
  <si>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</si>
  <si>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</si>
  <si>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</si>
  <si>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</si>
  <si>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</si>
  <si>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</si>
  <si>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</si>
  <si>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</si>
  <si>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</si>
  <si>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</si>
  <si>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</si>
  <si>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</si>
  <si>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</si>
  <si>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</si>
  <si>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</si>
  <si>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</si>
  <si>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</si>
  <si>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</si>
  <si>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</si>
  <si>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</si>
  <si>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</si>
  <si>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</si>
  <si>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</si>
  <si>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</si>
  <si>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</si>
  <si>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</si>
  <si>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</si>
  <si>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</si>
  <si>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</si>
  <si>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</si>
  <si>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</si>
  <si>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</si>
  <si>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</si>
  <si>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</si>
  <si>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</si>
  <si>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</si>
  <si>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</si>
  <si>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</si>
  <si>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</si>
  <si>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</si>
  <si>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</si>
  <si>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</si>
  <si>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</si>
  <si>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</si>
  <si>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</si>
  <si>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</si>
  <si>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</si>
  <si>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</si>
  <si>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</si>
  <si>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</si>
  <si>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</si>
  <si>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</si>
  <si>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</si>
  <si>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</si>
  <si>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</si>
  <si>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</si>
  <si>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</si>
  <si>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</si>
  <si>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</si>
  <si>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</si>
  <si>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</si>
  <si>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</si>
  <si>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</si>
  <si>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</si>
  <si>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</si>
  <si>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</si>
  <si>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</si>
  <si>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</si>
  <si>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</si>
  <si>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</si>
  <si>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</si>
  <si>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</si>
  <si>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</si>
  <si>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</si>
  <si>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</si>
  <si>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</si>
  <si>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</si>
  <si>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</si>
  <si>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</si>
  <si>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</si>
  <si>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</si>
  <si>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</si>
  <si>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</si>
  <si>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</si>
  <si>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</si>
  <si>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</si>
  <si>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</si>
  <si>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</si>
  <si>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</si>
  <si>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</si>
  <si>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</si>
  <si>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</si>
  <si>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</si>
  <si>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</si>
  <si>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</si>
  <si>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</si>
  <si>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</si>
  <si>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</si>
  <si>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</si>
  <si>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</si>
  <si>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</si>
  <si>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</si>
  <si>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</si>
  <si>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</si>
  <si>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</si>
  <si>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</si>
  <si>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</si>
  <si>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</si>
  <si>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</si>
  <si>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</si>
  <si>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</si>
  <si>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</si>
  <si>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</si>
  <si>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</si>
  <si>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</si>
  <si>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</si>
  <si>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</si>
  <si>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</si>
  <si>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</si>
  <si>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</si>
  <si>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</si>
  <si>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</si>
  <si>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</si>
  <si>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</si>
  <si>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</si>
  <si>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</si>
  <si>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</si>
  <si>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</si>
  <si>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</si>
  <si>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</si>
  <si>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</si>
  <si>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</si>
  <si>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</si>
  <si>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</si>
  <si>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</si>
  <si>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</si>
  <si>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</si>
  <si>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</si>
  <si>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</si>
  <si>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</si>
  <si>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</si>
  <si>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</si>
  <si>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</si>
  <si>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</si>
  <si>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</si>
  <si>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</si>
  <si>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</si>
  <si>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</si>
  <si>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</si>
  <si>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</si>
  <si>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</si>
  <si>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</si>
  <si>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</si>
  <si>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</si>
  <si>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</si>
  <si>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</si>
  <si>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</si>
  <si>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</si>
  <si>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</si>
  <si>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</si>
  <si>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</si>
  <si>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</si>
  <si>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</si>
  <si>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</si>
  <si>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</si>
  <si>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</si>
  <si>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</si>
  <si>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</si>
  <si>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</si>
  <si>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</si>
  <si>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</si>
  <si>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</si>
  <si>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</si>
  <si>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</si>
  <si>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</si>
  <si>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</si>
  <si>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</si>
  <si>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</si>
  <si>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</si>
  <si>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</si>
  <si>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</si>
  <si>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</si>
  <si>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</si>
  <si>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</si>
  <si>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</si>
  <si>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</si>
  <si>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</si>
  <si>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</si>
  <si>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</si>
  <si>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</si>
  <si>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</si>
  <si>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</si>
  <si>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</si>
  <si>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</si>
  <si>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</si>
  <si>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</si>
  <si>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</si>
  <si>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</si>
  <si>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</si>
  <si>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</si>
  <si>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</si>
  <si>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</si>
  <si>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</si>
  <si>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</si>
  <si>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</si>
  <si>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</si>
  <si>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</si>
  <si>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</si>
  <si>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</si>
  <si>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</si>
  <si>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</si>
  <si>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</si>
  <si>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</si>
  <si>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</si>
  <si>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</si>
  <si>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</si>
  <si>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</si>
  <si>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</si>
  <si>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</si>
  <si>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</si>
  <si>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</si>
  <si>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</si>
  <si>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</si>
  <si>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</si>
  <si>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</si>
  <si>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</si>
  <si>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</si>
  <si>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</si>
  <si>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</si>
  <si>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</si>
  <si>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</si>
  <si>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</si>
  <si>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</si>
  <si>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</si>
  <si>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</si>
  <si>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</si>
  <si>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</si>
  <si>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</si>
  <si>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</si>
  <si>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</si>
  <si>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</si>
  <si>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</si>
  <si>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</si>
  <si>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</si>
  <si>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</si>
  <si>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</si>
  <si>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</si>
  <si>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</si>
  <si>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</si>
  <si>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</si>
  <si>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</si>
  <si>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</si>
  <si>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</si>
  <si>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</si>
  <si>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</si>
  <si>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</si>
  <si>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</si>
  <si>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</si>
  <si>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</si>
  <si>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</si>
  <si>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</si>
  <si>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</si>
  <si>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</si>
  <si>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</si>
  <si>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</si>
  <si>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</si>
  <si>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</si>
  <si>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</si>
  <si>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</si>
  <si>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</si>
  <si>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</si>
  <si>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</si>
  <si>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</si>
  <si>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</si>
  <si>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</si>
  <si>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</si>
  <si>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</si>
  <si>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</si>
  <si>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</si>
  <si>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</si>
  <si>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</si>
  <si>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</si>
  <si>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</si>
  <si>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</si>
  <si>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</si>
  <si>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</si>
  <si>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</si>
  <si>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</si>
  <si>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</si>
  <si>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</si>
  <si>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</si>
  <si>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</si>
  <si>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</si>
  <si>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</si>
  <si>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</si>
  <si>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</si>
  <si>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</si>
  <si>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</si>
  <si>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</si>
  <si>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</si>
  <si>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</si>
  <si>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</si>
  <si>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</si>
  <si>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</si>
  <si>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</si>
  <si>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</si>
  <si>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</si>
  <si>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</si>
  <si>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</si>
  <si>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</si>
  <si>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</si>
  <si>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</si>
  <si>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</si>
  <si>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</si>
  <si>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</si>
  <si>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</si>
  <si>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</si>
  <si>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</si>
  <si>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</si>
  <si>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</si>
  <si>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</si>
  <si>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</si>
  <si>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</si>
  <si>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</si>
  <si>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</si>
  <si>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</si>
  <si>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</si>
  <si>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</si>
  <si>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</si>
  <si>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</si>
  <si>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</si>
  <si>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</si>
  <si>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</si>
  <si>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</si>
  <si>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</si>
  <si>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</si>
  <si>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</si>
  <si>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</si>
  <si>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</si>
  <si>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</si>
  <si>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</si>
  <si>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</si>
  <si>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</si>
  <si>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</si>
  <si>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</si>
  <si>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</si>
  <si>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</si>
  <si>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</si>
  <si>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</si>
  <si>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</si>
  <si>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</si>
  <si>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</si>
  <si>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</si>
  <si>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</si>
  <si>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</si>
  <si>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</si>
  <si>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</si>
  <si>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</si>
  <si>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</si>
  <si>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</si>
  <si>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</si>
  <si>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</si>
  <si>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</si>
  <si>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</si>
  <si>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</si>
  <si>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</si>
  <si>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</si>
  <si>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</si>
  <si>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</si>
  <si>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</si>
  <si>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</si>
  <si>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</si>
  <si>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</si>
  <si>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</si>
  <si>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</si>
  <si>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</si>
  <si>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</si>
  <si>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</si>
  <si>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</si>
  <si>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</si>
  <si>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</si>
  <si>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</si>
  <si>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</si>
  <si>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</si>
  <si>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</si>
  <si>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</si>
  <si>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</si>
  <si>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</si>
  <si>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</si>
  <si>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</si>
  <si>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</si>
  <si>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</si>
  <si>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</si>
  <si>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</si>
  <si>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</si>
  <si>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</si>
  <si>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</si>
  <si>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</si>
  <si>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</si>
  <si>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</si>
  <si>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</si>
  <si>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</si>
  <si>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</si>
  <si>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</si>
  <si>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</si>
  <si>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</si>
  <si>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</si>
  <si>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</si>
  <si>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</si>
  <si>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</si>
  <si>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</si>
  <si>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</si>
  <si>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</si>
  <si>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</si>
  <si>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</si>
  <si>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</si>
  <si>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</si>
  <si>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</si>
  <si>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</si>
  <si>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</si>
  <si>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</si>
  <si>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</si>
  <si>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</si>
  <si>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</si>
  <si>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</si>
  <si>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</si>
  <si>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</si>
  <si>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</si>
  <si>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</si>
  <si>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</si>
  <si>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</si>
  <si>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</si>
  <si>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</si>
  <si>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</si>
  <si>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</si>
  <si>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</si>
  <si>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</si>
  <si>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</si>
  <si>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</si>
  <si>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</si>
  <si>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</si>
  <si>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</si>
  <si>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</si>
  <si>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</si>
  <si>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</si>
  <si>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</si>
  <si>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</si>
  <si>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</si>
  <si>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</si>
  <si>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</si>
  <si>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</si>
  <si>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</si>
  <si>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</si>
  <si>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</si>
  <si>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</si>
  <si>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</si>
  <si>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</si>
  <si>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</si>
  <si>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</si>
  <si>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</si>
  <si>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</si>
  <si>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</si>
  <si>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</si>
  <si>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</si>
  <si>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</si>
  <si>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</si>
  <si>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</si>
  <si>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</si>
  <si>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</si>
  <si>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</si>
  <si>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</si>
  <si>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</si>
  <si>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</si>
  <si>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</si>
  <si>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</si>
  <si>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</si>
  <si>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</si>
  <si>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</si>
  <si>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</si>
  <si>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</si>
  <si>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</si>
  <si>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</si>
  <si>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</si>
  <si>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</si>
  <si>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</si>
  <si>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</si>
  <si>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</si>
  <si>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</si>
  <si>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</si>
  <si>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</si>
  <si>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</si>
  <si>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</si>
  <si>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</si>
  <si>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</si>
  <si>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</si>
  <si>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</si>
  <si>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</si>
  <si>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</si>
  <si>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</si>
  <si>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</si>
  <si>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</si>
  <si>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</si>
  <si>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</si>
  <si>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</si>
  <si>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</si>
  <si>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</si>
  <si>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</si>
  <si>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</si>
  <si>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</si>
  <si>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</si>
  <si>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</si>
  <si>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</si>
  <si>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</si>
  <si>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</si>
  <si>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</si>
  <si>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</si>
  <si>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</si>
  <si>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</si>
  <si>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</si>
  <si>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</si>
  <si>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</si>
  <si>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</si>
  <si>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</si>
  <si>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</si>
  <si>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</si>
  <si>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</si>
  <si>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</si>
  <si>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</si>
  <si>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</si>
  <si>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</si>
  <si>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</si>
  <si>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</si>
  <si>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</si>
  <si>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</si>
  <si>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</si>
  <si>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</si>
  <si>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</si>
  <si>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</si>
  <si>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</si>
  <si>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</si>
  <si>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</si>
  <si>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</si>
  <si>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</si>
  <si>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</si>
  <si>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</si>
  <si>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</si>
  <si>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</si>
  <si>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</si>
  <si>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</si>
  <si>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</si>
  <si>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</si>
  <si>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</si>
  <si>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</si>
  <si>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</si>
  <si>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</si>
  <si>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</si>
  <si>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</si>
  <si>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</si>
  <si>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</si>
  <si>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</si>
  <si>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</si>
  <si>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</si>
  <si>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</si>
  <si>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</si>
  <si>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</si>
  <si>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</si>
  <si>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</si>
  <si>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</si>
  <si>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</si>
  <si>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</si>
  <si>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</si>
  <si>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</si>
  <si>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</si>
  <si>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</si>
  <si>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</si>
  <si>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</si>
  <si>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</si>
  <si>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</si>
  <si>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</si>
  <si>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</si>
  <si>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</si>
  <si>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</si>
  <si>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</si>
  <si>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</si>
  <si>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</si>
  <si>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</si>
  <si>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</si>
  <si>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</si>
  <si>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</si>
  <si>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</si>
  <si>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</si>
  <si>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</si>
  <si>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</si>
  <si>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</si>
  <si>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</si>
  <si>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</si>
  <si>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</si>
  <si>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</si>
  <si>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</si>
  <si>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</si>
  <si>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</si>
  <si>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</si>
  <si>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</si>
  <si>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</si>
  <si>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</si>
  <si>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</si>
  <si>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</si>
  <si>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</si>
  <si>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</si>
  <si>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</si>
  <si>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</si>
  <si>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</si>
  <si>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</si>
  <si>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</si>
  <si>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</si>
  <si>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</si>
  <si>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</si>
  <si>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</si>
  <si>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</si>
  <si>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</si>
  <si>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</si>
  <si>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</si>
  <si>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</si>
  <si>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</si>
  <si>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</si>
  <si>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</si>
  <si>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</si>
  <si>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</si>
  <si>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</si>
  <si>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</si>
  <si>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</si>
  <si>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</si>
  <si>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</si>
  <si>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</si>
  <si>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</si>
  <si>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</si>
  <si>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</si>
  <si>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</si>
  <si>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</si>
  <si>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</si>
  <si>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</si>
  <si>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</si>
  <si>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</si>
  <si>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</si>
  <si>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</si>
  <si>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</si>
  <si>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</si>
  <si>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</si>
  <si>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</si>
  <si>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</si>
  <si>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</si>
  <si>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</si>
  <si>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</si>
  <si>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</si>
  <si>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</si>
  <si>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</si>
  <si>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</si>
  <si>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</si>
  <si>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</si>
  <si>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</si>
  <si>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</si>
  <si>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</si>
  <si>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</si>
  <si>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</si>
  <si>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</si>
  <si>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</si>
  <si>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</si>
  <si>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</si>
  <si>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</si>
  <si>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</si>
  <si>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</si>
  <si>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</si>
  <si>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</si>
  <si>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</si>
  <si>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</si>
  <si>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</si>
  <si>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</si>
  <si>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</si>
  <si>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</si>
  <si>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</si>
  <si>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</si>
  <si>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</si>
  <si>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</si>
  <si>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</si>
  <si>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</si>
  <si>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</si>
  <si>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</si>
  <si>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</si>
  <si>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</si>
  <si>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</si>
  <si>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</si>
  <si>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</si>
  <si>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</si>
  <si>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</si>
  <si>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</si>
  <si>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</si>
  <si>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</si>
  <si>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</si>
  <si>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</si>
  <si>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</si>
  <si>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</si>
  <si>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</si>
  <si>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</si>
  <si>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</si>
  <si>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</si>
  <si>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</si>
  <si>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</si>
  <si>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</si>
  <si>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</si>
  <si>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</si>
  <si>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</si>
  <si>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</si>
  <si>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</si>
  <si>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</si>
  <si>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</si>
  <si>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</si>
  <si>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</si>
  <si>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</si>
  <si>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</si>
  <si>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</si>
  <si>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</si>
  <si>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</si>
  <si>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</si>
  <si>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</si>
  <si>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</si>
  <si>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</si>
  <si>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</si>
  <si>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</si>
  <si>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</si>
  <si>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</si>
  <si>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</si>
  <si>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</si>
  <si>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</si>
  <si>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</si>
  <si>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</si>
  <si>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</si>
  <si>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</si>
  <si>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</si>
  <si>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</si>
  <si>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</si>
  <si>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</si>
  <si>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</si>
  <si>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</si>
  <si>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</si>
  <si>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</si>
  <si>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</si>
  <si>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</si>
  <si>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</si>
  <si>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</si>
  <si>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</si>
  <si>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</si>
  <si>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</si>
  <si>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</si>
  <si>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</si>
  <si>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</si>
  <si>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</si>
  <si>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</si>
  <si>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</si>
  <si>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</si>
  <si>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</si>
  <si>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</si>
  <si>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</si>
  <si>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</si>
  <si>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</si>
  <si>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</si>
  <si>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</si>
  <si>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</si>
  <si>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</si>
  <si>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</si>
  <si>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</si>
  <si>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</si>
  <si>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</si>
  <si>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</si>
  <si>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</si>
  <si>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</si>
  <si>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</si>
  <si>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</si>
  <si>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</si>
  <si>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</si>
  <si>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</si>
  <si>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</si>
  <si>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</si>
  <si>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</si>
  <si>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</si>
  <si>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</si>
  <si>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</si>
  <si>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</si>
  <si>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</si>
  <si>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</si>
  <si>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</si>
  <si>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</si>
  <si>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</si>
  <si>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</si>
  <si>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</si>
  <si>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</si>
  <si>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</si>
  <si>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</si>
  <si>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</si>
  <si>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</si>
  <si>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</si>
  <si>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</si>
  <si>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</si>
  <si>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</si>
  <si>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</si>
  <si>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</si>
  <si>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</si>
  <si>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</si>
  <si>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</si>
  <si>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</si>
  <si>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</si>
  <si>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</si>
  <si>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</si>
  <si>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</si>
  <si>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</si>
  <si>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</si>
  <si>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</si>
  <si>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</si>
  <si>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</si>
  <si>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</si>
  <si>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</si>
  <si>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</si>
  <si>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</si>
  <si>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</si>
  <si>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</si>
  <si>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</si>
  <si>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</si>
  <si>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</si>
  <si>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</si>
  <si>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</si>
  <si>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</si>
  <si>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</si>
  <si>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</si>
  <si>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</si>
  <si>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</si>
  <si>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</si>
  <si>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</si>
  <si>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</si>
  <si>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</si>
  <si>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</si>
  <si>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</si>
  <si>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</si>
  <si>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</si>
  <si>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</si>
  <si>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</si>
  <si>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</si>
  <si>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</si>
  <si>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</si>
  <si>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</si>
  <si>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</si>
  <si>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</si>
  <si>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</si>
  <si>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</si>
  <si>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</si>
  <si>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</si>
  <si>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</si>
  <si>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</si>
  <si>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</si>
  <si>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</si>
  <si>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</si>
  <si>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</si>
  <si>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</si>
  <si>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</si>
  <si>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</si>
  <si>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</si>
  <si>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</si>
  <si>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</si>
  <si>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</si>
  <si>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</si>
  <si>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</si>
  <si>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</si>
  <si>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</si>
  <si>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</si>
  <si>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</si>
  <si>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</si>
  <si>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</si>
  <si>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</si>
  <si>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</si>
  <si>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</si>
  <si>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</si>
  <si>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</si>
  <si>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</si>
  <si>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</si>
  <si>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</si>
  <si>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</si>
  <si>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</si>
  <si>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</si>
  <si>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</si>
  <si>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</si>
  <si>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</si>
  <si>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</si>
  <si>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</si>
  <si>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</si>
  <si>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</si>
  <si>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</si>
  <si>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</si>
  <si>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</si>
  <si>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</si>
  <si>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</si>
  <si>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</si>
  <si>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</si>
  <si>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</si>
  <si>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</si>
  <si>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</si>
  <si>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</si>
  <si>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</si>
  <si>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</si>
  <si>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</si>
  <si>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</si>
  <si>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</si>
  <si>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</si>
  <si>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</si>
  <si>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</si>
  <si>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</si>
  <si>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</si>
  <si>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</si>
  <si>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</si>
  <si>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</si>
  <si>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</si>
  <si>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</si>
  <si>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</si>
  <si>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</si>
  <si>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</si>
  <si>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</si>
  <si>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</si>
  <si>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</si>
  <si>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</si>
  <si>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</si>
  <si>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</si>
  <si>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</si>
  <si>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</si>
  <si>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</si>
  <si>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</si>
  <si>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</si>
  <si>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</si>
  <si>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</si>
  <si>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</si>
  <si>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</si>
  <si>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</si>
  <si>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</si>
  <si>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</si>
  <si>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</si>
  <si>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</si>
  <si>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</si>
  <si>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</si>
  <si>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</si>
  <si>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</si>
  <si>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</si>
  <si>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</si>
  <si>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</si>
  <si>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</si>
  <si>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</si>
  <si>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</si>
  <si>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</si>
  <si>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</si>
  <si>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</si>
  <si>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</si>
  <si>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</si>
  <si>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</si>
  <si>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</si>
  <si>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</si>
  <si>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</si>
  <si>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</si>
  <si>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</si>
  <si>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</si>
  <si>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</si>
  <si>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</si>
  <si>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</si>
  <si>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</si>
  <si>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</si>
  <si>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</si>
  <si>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</si>
  <si>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</si>
  <si>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</si>
  <si>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</si>
  <si>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</si>
  <si>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</si>
  <si>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</si>
  <si>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</si>
  <si>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</si>
  <si>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</si>
  <si>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</si>
  <si>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</si>
  <si>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</si>
  <si>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</si>
  <si>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</si>
  <si>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</si>
  <si>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</si>
  <si>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</si>
  <si>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</si>
  <si>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</si>
  <si>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</si>
  <si>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</si>
  <si>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</si>
  <si>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</si>
  <si>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</si>
  <si>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</si>
  <si>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</si>
  <si>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</si>
  <si>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</si>
  <si>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</si>
  <si>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</si>
  <si>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</si>
  <si>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</si>
  <si>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</si>
  <si>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</si>
  <si>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</si>
  <si>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</si>
  <si>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</si>
  <si>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</si>
  <si>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</si>
  <si>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</si>
  <si>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</si>
  <si>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</si>
  <si>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</si>
  <si>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</si>
  <si>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</si>
  <si>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</si>
  <si>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</si>
  <si>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</si>
  <si>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</si>
  <si>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</si>
  <si>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</si>
  <si>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</si>
  <si>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</si>
  <si>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</si>
  <si>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</si>
  <si>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</si>
  <si>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</si>
  <si>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</si>
  <si>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</si>
  <si>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</si>
  <si>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</si>
  <si>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</si>
  <si>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</si>
  <si>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</si>
  <si>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</si>
  <si>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</si>
  <si>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</si>
  <si>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</si>
  <si>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</si>
  <si>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</si>
  <si>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</si>
  <si>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</si>
  <si>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</si>
  <si>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</si>
  <si>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</si>
  <si>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</si>
  <si>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</si>
  <si>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</si>
  <si>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</si>
  <si>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</si>
  <si>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</si>
  <si>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</si>
  <si>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</si>
  <si>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</si>
  <si>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</si>
  <si>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</si>
  <si>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</si>
  <si>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</si>
  <si>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</si>
  <si>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</si>
  <si>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</si>
  <si>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</si>
  <si>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</si>
  <si>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</si>
  <si>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</si>
  <si>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</si>
  <si>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</si>
  <si>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</si>
  <si>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</si>
  <si>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</si>
  <si>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</si>
  <si>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</si>
  <si>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</si>
  <si>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</si>
  <si>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</si>
  <si>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</si>
  <si>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</si>
  <si>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</si>
  <si>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</si>
  <si>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</si>
  <si>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</si>
  <si>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</si>
  <si>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</si>
  <si>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</si>
  <si>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</si>
  <si>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</si>
  <si>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</si>
  <si>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</si>
  <si>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</si>
  <si>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</si>
  <si>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</si>
  <si>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</si>
  <si>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</si>
  <si>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</si>
  <si>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</si>
  <si>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</si>
  <si>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</si>
  <si>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</si>
  <si>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</si>
  <si>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</si>
  <si>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</si>
  <si>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</si>
  <si>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</si>
  <si>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</si>
  <si>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</si>
  <si>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</si>
  <si>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</si>
  <si>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</si>
  <si>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</si>
  <si>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</si>
  <si>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</si>
  <si>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</si>
  <si>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</si>
  <si>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</si>
  <si>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</si>
  <si>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</si>
  <si>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</si>
  <si>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</si>
  <si>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</si>
  <si>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</si>
  <si>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</si>
  <si>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</si>
  <si>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</si>
  <si>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</si>
  <si>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</si>
  <si>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</si>
  <si>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</si>
  <si>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</si>
  <si>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</si>
  <si>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</si>
  <si>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</si>
  <si>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</si>
  <si>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</si>
  <si>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</si>
  <si>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</si>
  <si>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</si>
  <si>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</si>
  <si>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</si>
  <si>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</si>
  <si>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</si>
  <si>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</si>
  <si>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</si>
  <si>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</si>
  <si>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</si>
  <si>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</si>
  <si>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</si>
  <si>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</si>
  <si>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</si>
  <si>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</si>
  <si>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</si>
  <si>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</si>
  <si>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</si>
  <si>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</si>
  <si>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</si>
  <si>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</si>
  <si>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</si>
  <si>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</si>
  <si>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</si>
  <si>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</si>
  <si>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</si>
  <si>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</si>
  <si>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</si>
  <si>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</si>
  <si>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</si>
  <si>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</si>
  <si>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</si>
  <si>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</si>
  <si>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</si>
  <si>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</si>
  <si>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</si>
  <si>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</si>
  <si>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</si>
  <si>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</si>
  <si>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</si>
  <si>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</si>
  <si>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</si>
  <si>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</si>
  <si>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</si>
  <si>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</si>
  <si>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</si>
  <si>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</si>
  <si>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</si>
  <si>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</si>
  <si>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</si>
  <si>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</si>
  <si>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</si>
  <si>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</si>
  <si>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</si>
  <si>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</si>
  <si>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</si>
  <si>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</si>
  <si>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</si>
  <si>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</si>
  <si>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</si>
  <si>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</si>
  <si>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</si>
  <si>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</si>
  <si>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</si>
  <si>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</si>
  <si>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</si>
  <si>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</si>
  <si>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</si>
  <si>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</si>
  <si>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</si>
  <si>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</si>
  <si>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</si>
  <si>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</si>
  <si>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</si>
  <si>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</si>
  <si>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</si>
  <si>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</si>
  <si>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</si>
  <si>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</si>
  <si>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</si>
  <si>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</si>
  <si>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</si>
  <si>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</si>
  <si>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</si>
  <si>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</si>
  <si>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</si>
  <si>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</si>
  <si>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</si>
  <si>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</si>
  <si>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</si>
  <si>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</si>
  <si>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</si>
  <si>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</si>
  <si>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</si>
  <si>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</si>
  <si>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</si>
  <si>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</si>
  <si>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</si>
  <si>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</si>
  <si>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</si>
  <si>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</si>
  <si>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</si>
  <si>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</si>
  <si>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</si>
  <si>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</si>
  <si>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</si>
  <si>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</si>
  <si>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</si>
  <si>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</si>
  <si>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</si>
  <si>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</si>
  <si>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</si>
  <si>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</si>
  <si>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</si>
  <si>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</si>
  <si>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</si>
  <si>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</si>
  <si>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</si>
  <si>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</si>
  <si>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</si>
  <si>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</si>
  <si>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</si>
  <si>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</si>
  <si>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</si>
  <si>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</si>
  <si>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</si>
  <si>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</si>
  <si>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</si>
  <si>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</si>
  <si>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</si>
  <si>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</si>
  <si>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</si>
  <si>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</si>
  <si>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</si>
  <si>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</si>
  <si>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</si>
  <si>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</si>
  <si>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</si>
  <si>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</si>
  <si>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</si>
  <si>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</si>
  <si>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</si>
  <si>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</si>
  <si>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</si>
  <si>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</si>
  <si>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</si>
  <si>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</si>
  <si>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</si>
  <si>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</si>
  <si>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</si>
  <si>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</si>
  <si>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</si>
  <si>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</si>
  <si>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</si>
  <si>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</si>
  <si>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</si>
  <si>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</si>
  <si>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</si>
  <si>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</si>
  <si>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</si>
  <si>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</si>
  <si>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</si>
  <si>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</si>
  <si>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</si>
  <si>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</si>
  <si>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</si>
  <si>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</si>
  <si>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</si>
  <si>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</si>
  <si>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</si>
  <si>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</si>
  <si>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</si>
  <si>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</si>
  <si>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</si>
  <si>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</si>
  <si>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</si>
  <si>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</si>
  <si>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</si>
  <si>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</si>
  <si>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</si>
  <si>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</si>
  <si>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</si>
  <si>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</si>
  <si>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</si>
  <si>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</si>
  <si>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</si>
  <si>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</si>
  <si>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</si>
  <si>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</si>
  <si>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</si>
  <si>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</si>
  <si>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</si>
  <si>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</si>
  <si>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</si>
  <si>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</si>
  <si>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</si>
  <si>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</si>
  <si>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</si>
  <si>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</si>
  <si>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</si>
  <si>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</si>
  <si>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</si>
  <si>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</si>
  <si>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</si>
  <si>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</si>
  <si>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</si>
  <si>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</si>
  <si>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</si>
  <si>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</si>
  <si>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</si>
  <si>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</si>
  <si>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</si>
  <si>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</si>
  <si>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</si>
  <si>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</si>
  <si>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</si>
  <si>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</si>
  <si>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</si>
  <si>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</si>
  <si>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</si>
  <si>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</si>
  <si>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</si>
  <si>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</si>
  <si>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</si>
  <si>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</si>
  <si>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</si>
  <si>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</si>
  <si>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</si>
  <si>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</si>
  <si>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</si>
  <si>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</si>
  <si>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</si>
  <si>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</si>
  <si>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</si>
  <si>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</si>
  <si>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</si>
  <si>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</si>
  <si>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</si>
  <si>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</si>
  <si>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</si>
  <si>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</si>
  <si>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</si>
  <si>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</si>
  <si>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</si>
  <si>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</si>
  <si>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</si>
  <si>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</si>
  <si>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</si>
  <si>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</si>
  <si>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</si>
  <si>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</si>
  <si>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</si>
  <si>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</si>
  <si>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</si>
  <si>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</si>
  <si>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</si>
  <si>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</si>
  <si>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</si>
  <si>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</si>
  <si>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</si>
  <si>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</si>
  <si>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</si>
  <si>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</si>
  <si>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</si>
  <si>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</si>
  <si>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</si>
  <si>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</si>
  <si>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</si>
  <si>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</si>
  <si>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</si>
  <si>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</si>
  <si>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</si>
  <si>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</si>
  <si>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</si>
  <si>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</si>
  <si>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</si>
  <si>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</si>
  <si>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</si>
  <si>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</si>
  <si>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</si>
  <si>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</si>
  <si>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</si>
  <si>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</si>
  <si>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</si>
  <si>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</si>
  <si>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</si>
  <si>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</si>
  <si>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</si>
  <si>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</si>
  <si>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</si>
  <si>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</si>
  <si>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</si>
  <si>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</si>
  <si>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</si>
  <si>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</si>
  <si>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</si>
  <si>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</si>
  <si>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</si>
  <si>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</si>
  <si>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</si>
  <si>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</si>
  <si>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</si>
  <si>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</si>
  <si>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</si>
  <si>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</si>
  <si>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</si>
  <si>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</si>
  <si>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</si>
  <si>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</si>
  <si>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</si>
  <si>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</si>
  <si>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</si>
  <si>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</si>
  <si>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</si>
  <si>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</si>
  <si>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</si>
  <si>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</si>
  <si>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</si>
  <si>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</si>
  <si>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</si>
  <si>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</si>
  <si>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</si>
  <si>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</si>
  <si>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</si>
  <si>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</si>
  <si>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</si>
  <si>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</si>
  <si>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</si>
  <si>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</si>
  <si>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</si>
  <si>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</si>
  <si>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</si>
  <si>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</si>
  <si>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</si>
  <si>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</si>
  <si>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</si>
  <si>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</si>
  <si>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</si>
  <si>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</si>
  <si>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</si>
  <si>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</si>
  <si>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</si>
  <si>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</si>
  <si>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</si>
  <si>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</si>
  <si>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</si>
  <si>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</si>
  <si>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</si>
  <si>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</si>
  <si>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</si>
  <si>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</si>
  <si>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</si>
  <si>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</si>
  <si>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</si>
  <si>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</si>
  <si>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</si>
  <si>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</si>
  <si>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</si>
  <si>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</si>
  <si>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</si>
  <si>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</si>
  <si>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</si>
  <si>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</si>
  <si>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</si>
  <si>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</si>
  <si>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</si>
  <si>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</si>
  <si>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</si>
  <si>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</si>
  <si>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</si>
  <si>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</si>
  <si>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</si>
  <si>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</si>
  <si>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</si>
  <si>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</si>
  <si>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</si>
  <si>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</si>
  <si>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</si>
  <si>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</si>
  <si>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</si>
  <si>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</si>
  <si>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</si>
  <si>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</si>
  <si>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</si>
  <si>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</si>
  <si>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</si>
  <si>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</si>
  <si>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</si>
  <si>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</si>
  <si>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</si>
  <si>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</si>
  <si>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</si>
  <si>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</si>
  <si>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</si>
  <si>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</si>
  <si>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</si>
  <si>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</si>
  <si>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</si>
  <si>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</si>
  <si>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</si>
  <si>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</si>
  <si>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</si>
  <si>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</si>
  <si>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</si>
  <si>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</si>
  <si>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</si>
  <si>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</si>
  <si>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</si>
  <si>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</si>
  <si>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</si>
  <si>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</si>
  <si>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</si>
  <si>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</si>
  <si>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</si>
  <si>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</si>
  <si>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</si>
  <si>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</si>
  <si>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</si>
  <si>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</si>
  <si>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</si>
  <si>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</si>
  <si>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</si>
  <si>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</si>
  <si>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</si>
  <si>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</si>
  <si>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</si>
  <si>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</si>
  <si>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</si>
  <si>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</si>
  <si>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</si>
  <si>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</si>
  <si>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</si>
  <si>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</si>
  <si>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</si>
  <si>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</si>
  <si>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</si>
  <si>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</si>
  <si>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</si>
  <si>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</si>
  <si>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</si>
  <si>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</si>
  <si>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</si>
  <si>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</si>
  <si>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</si>
  <si>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</si>
  <si>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</si>
  <si>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</si>
  <si>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</si>
  <si>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</si>
  <si>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</si>
  <si>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</si>
  <si>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</si>
  <si>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</si>
  <si>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</si>
  <si>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</si>
  <si>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</si>
  <si>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</si>
  <si>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</si>
  <si>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</si>
  <si>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</si>
  <si>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</si>
  <si>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</si>
  <si>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</si>
  <si>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</si>
  <si>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</si>
  <si>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</si>
  <si>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</si>
  <si>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</si>
  <si>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</si>
  <si>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</si>
  <si>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</si>
  <si>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</si>
  <si>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</si>
  <si>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</si>
  <si>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</si>
  <si>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</si>
  <si>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</si>
  <si>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</si>
  <si>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</si>
  <si>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</si>
  <si>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</si>
  <si>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</si>
  <si>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</si>
  <si>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</si>
  <si>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</si>
  <si>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</si>
  <si>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</si>
  <si>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</si>
  <si>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</si>
  <si>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</si>
  <si>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</si>
  <si>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</si>
  <si>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</si>
  <si>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</si>
  <si>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</si>
  <si>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</si>
  <si>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</si>
  <si>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</si>
  <si>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</si>
  <si>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</si>
  <si>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</si>
  <si>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</si>
  <si>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</si>
  <si>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</si>
  <si>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</si>
  <si>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</si>
  <si>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</si>
  <si>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</si>
  <si>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</si>
  <si>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</si>
  <si>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</si>
  <si>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</si>
  <si>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</si>
  <si>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</si>
  <si>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</si>
  <si>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</si>
  <si>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</si>
  <si>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</si>
  <si>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</si>
  <si>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</si>
  <si>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</si>
  <si>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</si>
  <si>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</si>
  <si>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</si>
  <si>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</si>
  <si>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</si>
  <si>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</si>
  <si>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</si>
  <si>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</si>
  <si>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</si>
  <si>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</si>
  <si>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</si>
  <si>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</si>
  <si>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</si>
  <si>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</si>
  <si>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</si>
  <si>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</si>
  <si>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</si>
  <si>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</si>
  <si>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</si>
  <si>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</si>
  <si>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</si>
  <si>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</si>
  <si>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</si>
  <si>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</si>
  <si>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</si>
  <si>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</si>
  <si>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</si>
  <si>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</si>
  <si>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</si>
  <si>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</si>
  <si>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</si>
  <si>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</si>
  <si>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</si>
  <si>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</si>
  <si>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</si>
  <si>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</si>
  <si>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</si>
  <si>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</si>
  <si>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</si>
  <si>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</si>
  <si>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</si>
  <si>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</si>
  <si>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</si>
  <si>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</si>
  <si>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</si>
  <si>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</si>
  <si>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</si>
  <si>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</si>
  <si>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</si>
  <si>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</si>
  <si>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</si>
  <si>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</si>
  <si>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</si>
  <si>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</si>
  <si>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</si>
  <si>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</si>
  <si>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</si>
  <si>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</si>
  <si>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</si>
  <si>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</si>
  <si>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</si>
  <si>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</si>
  <si>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</si>
  <si>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</si>
  <si>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</si>
  <si>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</si>
  <si>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</si>
  <si>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</si>
  <si>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</si>
  <si>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</si>
  <si>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</si>
  <si>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</si>
  <si>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</si>
  <si>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</si>
  <si>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</si>
  <si>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</si>
  <si>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</si>
  <si>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</si>
  <si>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</si>
  <si>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</si>
  <si>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</si>
  <si>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</si>
  <si>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</si>
  <si>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</si>
  <si>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</si>
  <si>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</si>
  <si>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</si>
  <si>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</si>
  <si>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</si>
  <si>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</si>
  <si>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</si>
  <si>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</si>
  <si>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</si>
  <si>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</si>
  <si>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</si>
  <si>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</si>
  <si>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</si>
  <si>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</si>
  <si>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</si>
  <si>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</si>
  <si>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</si>
  <si>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</si>
  <si>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</si>
  <si>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</si>
  <si>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</si>
  <si>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</si>
  <si>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</si>
  <si>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</si>
  <si>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</si>
  <si>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</si>
  <si>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</si>
  <si>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</si>
  <si>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</si>
  <si>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</si>
  <si>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</si>
  <si>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</si>
  <si>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</si>
  <si>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</si>
  <si>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</si>
  <si>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</si>
  <si>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</si>
  <si>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</si>
  <si>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</si>
  <si>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</si>
  <si>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</si>
  <si>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</si>
  <si>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</si>
  <si>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</si>
  <si>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</si>
  <si>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</si>
  <si>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</si>
  <si>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</si>
  <si>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</si>
  <si>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</si>
  <si>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</si>
  <si>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</si>
  <si>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</si>
  <si>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</si>
  <si>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</si>
  <si>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</si>
  <si>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</si>
  <si>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</si>
  <si>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</si>
  <si>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</si>
  <si>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</si>
  <si>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</si>
  <si>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</si>
  <si>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</si>
  <si>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</si>
  <si>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</si>
  <si>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</si>
  <si>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</si>
  <si>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</si>
  <si>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</si>
  <si>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</si>
  <si>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</si>
  <si>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</si>
  <si>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</si>
  <si>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</si>
  <si>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</si>
  <si>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</si>
  <si>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</si>
  <si>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</si>
  <si>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</si>
  <si>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</si>
  <si>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</si>
  <si>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</si>
  <si>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</si>
  <si>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</si>
  <si>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</si>
  <si>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</si>
  <si>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</si>
  <si>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</si>
  <si>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</si>
  <si>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</si>
  <si>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</si>
  <si>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</si>
  <si>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</si>
  <si>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</si>
  <si>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</si>
  <si>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</si>
  <si>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</si>
  <si>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</si>
  <si>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</si>
  <si>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</si>
  <si>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</si>
  <si>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</si>
  <si>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</si>
  <si>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</si>
  <si>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</si>
  <si>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</si>
  <si>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</si>
  <si>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</si>
  <si>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</si>
  <si>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</si>
  <si>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</si>
  <si>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</si>
  <si>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</si>
  <si>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</si>
  <si>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</si>
  <si>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</si>
  <si>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</si>
  <si>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</si>
  <si>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</si>
  <si>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</si>
  <si>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</si>
  <si>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</si>
  <si>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</si>
  <si>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</si>
  <si>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</si>
  <si>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</si>
  <si>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</si>
  <si>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</si>
  <si>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</si>
  <si>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</si>
  <si>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</si>
  <si>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</si>
  <si>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</si>
  <si>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</si>
  <si>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</si>
  <si>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</si>
  <si>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</si>
  <si>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</si>
  <si>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</si>
  <si>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</si>
  <si>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</si>
  <si>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</si>
  <si>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</si>
  <si>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</si>
  <si>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</si>
  <si>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</si>
  <si>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</si>
  <si>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</si>
  <si>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</si>
  <si>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</si>
  <si>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</si>
  <si>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</si>
  <si>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</si>
  <si>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</si>
  <si>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</si>
  <si>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</si>
  <si>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</si>
  <si>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</si>
  <si>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</si>
  <si>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</si>
  <si>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</si>
  <si>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</si>
  <si>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</si>
  <si>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</si>
  <si>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</si>
  <si>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</si>
  <si>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</si>
  <si>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</si>
  <si>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</si>
  <si>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</si>
  <si>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</si>
  <si>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</si>
  <si>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</si>
  <si>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</si>
  <si>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</si>
  <si>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</si>
  <si>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</si>
  <si>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</si>
  <si>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</si>
  <si>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</si>
  <si>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</si>
  <si>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</si>
  <si>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</si>
  <si>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</si>
  <si>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</si>
  <si>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</si>
  <si>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</si>
  <si>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</si>
  <si>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</si>
  <si>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</si>
  <si>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</si>
  <si>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</si>
  <si>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</si>
  <si>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</si>
  <si>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</si>
  <si>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</si>
  <si>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</si>
  <si>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</si>
  <si>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</si>
  <si>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</si>
  <si>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</si>
  <si>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</si>
  <si>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</si>
  <si>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</si>
  <si>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</si>
  <si>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</si>
  <si>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</si>
  <si>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</si>
  <si>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</si>
  <si>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</si>
  <si>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</si>
  <si>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</si>
  <si>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</si>
  <si>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</si>
  <si>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</si>
  <si>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</si>
  <si>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</si>
  <si>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</si>
  <si>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</si>
  <si>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</si>
  <si>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</si>
  <si>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</si>
  <si>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</si>
  <si>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</si>
  <si>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</si>
  <si>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</si>
  <si>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</si>
  <si>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</si>
  <si>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</si>
  <si>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</si>
  <si>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</si>
  <si>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</si>
  <si>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</si>
  <si>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</si>
  <si>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</si>
  <si>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</si>
  <si>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</si>
  <si>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</si>
  <si>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</si>
  <si>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</si>
  <si>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</si>
  <si>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</si>
  <si>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</si>
  <si>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</si>
  <si>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</si>
  <si>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</si>
  <si>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</si>
  <si>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</si>
  <si>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</si>
  <si>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</si>
  <si>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</si>
  <si>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</si>
  <si>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</si>
  <si>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</si>
  <si>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</si>
  <si>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</si>
  <si>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</si>
  <si>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</si>
  <si>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</si>
  <si>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</si>
  <si>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</si>
  <si>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</si>
  <si>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</si>
  <si>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</si>
  <si>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</si>
  <si>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</si>
  <si>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</si>
  <si>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</si>
  <si>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</si>
  <si>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</si>
  <si>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</si>
  <si>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</si>
  <si>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</si>
  <si>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</si>
  <si>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</si>
  <si>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</si>
  <si>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</si>
  <si>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</si>
  <si>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</si>
  <si>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</si>
  <si>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</si>
  <si>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</si>
  <si>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</si>
  <si>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</si>
  <si>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</si>
  <si>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</si>
  <si>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</si>
  <si>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</si>
  <si>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</si>
  <si>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</si>
  <si>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</si>
  <si>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</si>
  <si>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</si>
  <si>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</si>
  <si>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</si>
  <si>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</si>
  <si>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</si>
  <si>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</si>
  <si>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</si>
  <si>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</si>
  <si>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</si>
  <si>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</si>
  <si>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</si>
  <si>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</si>
  <si>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</si>
  <si>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</si>
  <si>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</si>
  <si>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</si>
  <si>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</si>
  <si>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</si>
  <si>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</si>
  <si>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</si>
  <si>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</si>
  <si>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</si>
  <si>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</si>
  <si>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</si>
  <si>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</si>
  <si>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</si>
  <si>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</si>
  <si>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</si>
  <si>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</si>
  <si>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</si>
  <si>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</si>
  <si>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</si>
  <si>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</si>
  <si>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</si>
  <si>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</si>
  <si>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</si>
  <si>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</si>
  <si>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</si>
  <si>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</si>
  <si>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</si>
  <si>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</si>
  <si>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</si>
  <si>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</si>
  <si>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</si>
  <si>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</si>
  <si>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</si>
  <si>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</si>
  <si>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</si>
  <si>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</si>
  <si>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</si>
  <si>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</si>
  <si>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</si>
  <si>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</si>
  <si>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</si>
  <si>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</si>
  <si>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</si>
  <si>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</si>
  <si>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</si>
  <si>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</si>
  <si>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</si>
  <si>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</si>
  <si>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</si>
  <si>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</si>
  <si>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</si>
  <si>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</si>
  <si>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</si>
  <si>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</si>
  <si>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</si>
  <si>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</si>
  <si>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</si>
  <si>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</si>
  <si>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</si>
  <si>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</si>
  <si>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</si>
  <si>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</si>
  <si>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</si>
  <si>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</si>
  <si>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</si>
  <si>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</si>
  <si>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</si>
  <si>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</si>
  <si>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</si>
  <si>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</si>
  <si>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</si>
  <si>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</si>
  <si>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</si>
  <si>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</si>
  <si>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</si>
  <si>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</si>
  <si>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</si>
  <si>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</si>
  <si>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</si>
  <si>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</si>
  <si>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</si>
  <si>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</si>
  <si>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</si>
  <si>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</si>
  <si>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</si>
  <si>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</si>
  <si>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</si>
  <si>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</si>
  <si>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</si>
  <si>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</si>
  <si>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</si>
  <si>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</si>
  <si>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</si>
  <si>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</si>
  <si>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</si>
  <si>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</si>
  <si>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</si>
  <si>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</si>
  <si>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</si>
  <si>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</si>
  <si>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</si>
  <si>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</si>
  <si>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</si>
  <si>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</si>
  <si>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</si>
  <si>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</si>
  <si>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</si>
  <si>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</si>
  <si>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</si>
  <si>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</si>
  <si>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</si>
  <si>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</si>
  <si>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</si>
  <si>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</si>
  <si>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</si>
  <si>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</si>
  <si>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</si>
  <si>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</si>
  <si>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</si>
  <si>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</si>
  <si>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</si>
  <si>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</si>
  <si>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</si>
  <si>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</si>
  <si>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</si>
  <si>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</si>
  <si>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</si>
  <si>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</si>
  <si>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</si>
  <si>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</si>
  <si>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</si>
  <si>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</si>
  <si>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</si>
  <si>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</si>
  <si>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</si>
  <si>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</si>
  <si>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</si>
  <si>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</si>
  <si>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</si>
  <si>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</si>
  <si>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</si>
  <si>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</si>
  <si>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</si>
  <si>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</si>
  <si>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</si>
  <si>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</si>
  <si>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</si>
  <si>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</si>
  <si>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</si>
  <si>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</si>
  <si>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</si>
  <si>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</si>
  <si>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</si>
  <si>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</si>
  <si>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</si>
  <si>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</si>
  <si>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</si>
  <si>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</si>
  <si>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</si>
  <si>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</si>
  <si>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</si>
  <si>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</si>
  <si>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</si>
  <si>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</si>
  <si>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</si>
  <si>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</si>
  <si>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</si>
  <si>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</si>
  <si>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</si>
  <si>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</si>
  <si>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</si>
  <si>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</si>
  <si>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</si>
  <si>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</si>
  <si>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</si>
  <si>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</si>
  <si>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</si>
  <si>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</si>
  <si>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</si>
  <si>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</si>
  <si>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</si>
  <si>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</si>
  <si>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</si>
  <si>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</si>
  <si>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</si>
  <si>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</si>
  <si>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</si>
  <si>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</si>
  <si>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</si>
  <si>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</si>
  <si>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</si>
  <si>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</si>
  <si>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</si>
  <si>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</si>
  <si>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</si>
  <si>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</si>
  <si>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</si>
  <si>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</si>
  <si>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</si>
  <si>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</si>
  <si>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</si>
  <si>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</si>
  <si>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</si>
  <si>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</si>
  <si>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</si>
  <si>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</si>
  <si>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</si>
  <si>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</si>
  <si>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</si>
  <si>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</si>
  <si>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</si>
  <si>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</si>
  <si>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</si>
  <si>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</si>
  <si>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</si>
  <si>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</si>
  <si>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</si>
  <si>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</si>
  <si>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</si>
  <si>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</si>
  <si>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</si>
  <si>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</si>
  <si>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</si>
  <si>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</si>
  <si>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</si>
  <si>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</si>
  <si>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</si>
  <si>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</si>
  <si>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</si>
  <si>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</si>
  <si>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</si>
  <si>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</si>
  <si>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</si>
  <si>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</si>
  <si>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</si>
  <si>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</si>
  <si>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</si>
  <si>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</si>
  <si>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</si>
  <si>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</si>
  <si>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</si>
  <si>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</si>
  <si>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</si>
  <si>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</si>
  <si>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</si>
  <si>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</si>
  <si>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</si>
  <si>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</si>
  <si>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</si>
  <si>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</si>
  <si>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</si>
  <si>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</si>
  <si>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</si>
  <si>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</si>
  <si>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</si>
  <si>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</si>
  <si>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</si>
  <si>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</si>
  <si>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</si>
  <si>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</si>
  <si>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</si>
  <si>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</si>
  <si>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</si>
  <si>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</si>
  <si>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</si>
  <si>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</si>
  <si>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</si>
  <si>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</si>
  <si>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</si>
  <si>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</si>
  <si>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</si>
  <si>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</si>
  <si>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</si>
  <si>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</si>
  <si>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</si>
  <si>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</si>
  <si>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</si>
  <si>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</si>
  <si>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</si>
  <si>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</si>
  <si>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</si>
  <si>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</si>
  <si>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</si>
  <si>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</si>
  <si>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</si>
  <si>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</si>
  <si>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</si>
  <si>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</si>
  <si>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</si>
  <si>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</si>
  <si>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</si>
  <si>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</si>
  <si>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</si>
  <si>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</si>
  <si>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</si>
  <si>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</si>
  <si>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</si>
  <si>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</si>
  <si>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</si>
  <si>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</si>
  <si>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</si>
  <si>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</si>
  <si>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</si>
  <si>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</si>
  <si>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</si>
  <si>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</si>
  <si>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</si>
  <si>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</si>
  <si>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</si>
  <si>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</si>
  <si>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</si>
  <si>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</si>
  <si>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</si>
  <si>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</si>
  <si>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</si>
  <si>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</si>
  <si>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</si>
  <si>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</si>
  <si>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</si>
  <si>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</si>
  <si>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</si>
  <si>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</si>
  <si>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</si>
  <si>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</si>
  <si>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</si>
  <si>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</si>
  <si>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</si>
  <si>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</si>
  <si>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</si>
  <si>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</si>
  <si>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</si>
  <si>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</si>
  <si>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</si>
  <si>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</si>
  <si>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</si>
  <si>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</si>
  <si>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</si>
  <si>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</si>
  <si>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</si>
  <si>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</si>
  <si>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</si>
  <si>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</si>
  <si>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</si>
  <si>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</si>
  <si>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</si>
  <si>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</si>
  <si>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</si>
  <si>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</si>
  <si>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</si>
  <si>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</si>
  <si>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</si>
  <si>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</si>
  <si>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</si>
  <si>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</si>
  <si>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</si>
  <si>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</si>
  <si>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</si>
  <si>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</si>
  <si>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</si>
  <si>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</si>
  <si>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</si>
  <si>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</si>
  <si>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</si>
  <si>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</si>
  <si>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</si>
  <si>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</si>
  <si>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</si>
  <si>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</si>
  <si>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</si>
  <si>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</si>
  <si>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</si>
  <si>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</si>
  <si>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</si>
  <si>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</si>
  <si>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</si>
  <si>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</si>
  <si>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</si>
  <si>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</si>
  <si>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</si>
  <si>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</si>
  <si>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</si>
  <si>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</si>
  <si>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</si>
  <si>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</si>
  <si>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</si>
  <si>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</si>
  <si>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</si>
  <si>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</si>
  <si>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</si>
  <si>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</si>
  <si>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</si>
  <si>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</si>
  <si>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</si>
  <si>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</si>
  <si>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</si>
  <si>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</si>
  <si>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</si>
  <si>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</si>
  <si>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</si>
  <si>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</si>
  <si>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</si>
  <si>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</si>
  <si>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</si>
  <si>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</si>
  <si>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</si>
  <si>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</si>
  <si>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</si>
  <si>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</si>
  <si>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</si>
  <si>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</si>
  <si>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</si>
  <si>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</si>
  <si>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</si>
  <si>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</si>
  <si>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</si>
  <si>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</si>
  <si>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</si>
  <si>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</si>
  <si>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</si>
  <si>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</si>
  <si>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</si>
  <si>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</si>
  <si>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</si>
  <si>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</si>
  <si>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</si>
  <si>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</si>
  <si>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</si>
  <si>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</si>
  <si>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</si>
  <si>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</si>
  <si>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</si>
  <si>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</si>
  <si>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</si>
  <si>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</si>
  <si>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</si>
  <si>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</si>
  <si>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</si>
  <si>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</si>
  <si>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</si>
  <si>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</si>
  <si>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</si>
  <si>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</si>
  <si>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</si>
  <si>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</si>
  <si>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</si>
  <si>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</si>
  <si>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</si>
  <si>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</si>
  <si>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</si>
  <si>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</si>
  <si>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</si>
  <si>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</si>
  <si>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</si>
  <si>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</si>
  <si>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</si>
  <si>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</si>
  <si>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</si>
  <si>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</si>
  <si>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</si>
  <si>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</si>
  <si>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</si>
  <si>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</si>
  <si>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</si>
  <si>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</si>
  <si>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</si>
  <si>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</si>
  <si>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</si>
  <si>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</si>
  <si>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</si>
  <si>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</si>
  <si>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</si>
  <si>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</si>
  <si>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</si>
  <si>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</si>
  <si>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</si>
  <si>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</si>
  <si>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</si>
  <si>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</si>
  <si>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</si>
  <si>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</si>
  <si>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</si>
  <si>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</si>
  <si>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</si>
  <si>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</si>
  <si>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</si>
  <si>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</si>
  <si>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</si>
  <si>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</si>
  <si>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</si>
  <si>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</si>
  <si>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</si>
  <si>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</si>
  <si>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</si>
  <si>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</si>
  <si>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</si>
  <si>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</si>
  <si>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</si>
  <si>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</si>
  <si>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</si>
  <si>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</si>
  <si>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</si>
  <si>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</si>
  <si>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</si>
  <si>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</si>
  <si>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</si>
  <si>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</si>
  <si>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</si>
  <si>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</si>
  <si>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</si>
  <si>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</si>
  <si>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</si>
  <si>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</si>
  <si>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</si>
  <si>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</si>
  <si>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</si>
  <si>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</si>
  <si>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</si>
  <si>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</si>
  <si>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</si>
  <si>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</si>
  <si>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</si>
  <si>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</si>
  <si>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</si>
  <si>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</si>
  <si>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</si>
  <si>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</si>
  <si>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</si>
  <si>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</si>
  <si>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</si>
  <si>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</si>
  <si>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</si>
  <si>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</si>
  <si>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</si>
  <si>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</si>
  <si>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</si>
  <si>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</si>
  <si>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</si>
  <si>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</si>
  <si>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</si>
  <si>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</si>
  <si>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</si>
  <si>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</si>
  <si>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</si>
  <si>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</si>
  <si>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</si>
  <si>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</si>
  <si>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</si>
  <si>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</si>
  <si>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</si>
  <si>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</si>
  <si>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</si>
  <si>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</si>
  <si>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</si>
  <si>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</si>
  <si>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</si>
  <si>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</si>
  <si>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</si>
  <si>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</si>
  <si>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</si>
  <si>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</si>
  <si>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</si>
  <si>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</si>
  <si>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</si>
  <si>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</si>
  <si>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</si>
  <si>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</si>
  <si>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</si>
  <si>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</si>
  <si>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</si>
  <si>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</si>
  <si>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</si>
  <si>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</si>
  <si>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</si>
  <si>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</si>
  <si>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</si>
  <si>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</si>
  <si>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</si>
  <si>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</si>
  <si>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</si>
  <si>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</si>
  <si>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</si>
  <si>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</si>
  <si>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</si>
  <si>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</si>
  <si>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</si>
  <si>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</si>
  <si>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</si>
  <si>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</si>
  <si>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</si>
  <si>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</si>
  <si>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</si>
  <si>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</si>
  <si>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</si>
  <si>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</si>
  <si>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</si>
  <si>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</si>
  <si>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</si>
  <si>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</si>
  <si>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</si>
  <si>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</si>
  <si>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</si>
  <si>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</si>
  <si>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</si>
  <si>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</si>
  <si>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</si>
  <si>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</si>
  <si>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</si>
  <si>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</si>
  <si>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</si>
  <si>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</si>
  <si>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</si>
  <si>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</si>
  <si>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</si>
  <si>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</si>
  <si>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</si>
  <si>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</si>
  <si>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</si>
  <si>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</si>
  <si>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</si>
  <si>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</si>
  <si>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</si>
  <si>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</si>
  <si>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</si>
  <si>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</si>
  <si>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</si>
  <si>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</si>
  <si>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</si>
  <si>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</si>
  <si>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</si>
  <si>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</si>
  <si>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</si>
  <si>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</si>
  <si>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</si>
  <si>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</si>
  <si>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</si>
  <si>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</si>
  <si>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</si>
  <si>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</si>
  <si>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</si>
  <si>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</si>
  <si>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</si>
  <si>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</si>
  <si>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</si>
  <si>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</si>
  <si>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</si>
  <si>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</si>
  <si>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</si>
  <si>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</si>
  <si>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</si>
  <si>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</si>
  <si>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</si>
  <si>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</si>
  <si>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</si>
  <si>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</si>
  <si>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</si>
  <si>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</si>
  <si>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</si>
  <si>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</si>
  <si>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</si>
  <si>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</si>
  <si>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</si>
  <si>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</si>
  <si>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</si>
  <si>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</si>
  <si>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</si>
  <si>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</si>
  <si>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</si>
  <si>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</si>
  <si>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</si>
  <si>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</si>
  <si>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</si>
  <si>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</si>
  <si>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</si>
  <si>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</si>
  <si>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</si>
  <si>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</si>
  <si>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</si>
  <si>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</si>
  <si>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</si>
  <si>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</si>
  <si>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</si>
  <si>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</si>
  <si>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</si>
  <si>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</si>
  <si>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</si>
  <si>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</si>
  <si>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</si>
  <si>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</si>
  <si>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</si>
  <si>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</si>
  <si>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</si>
  <si>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</si>
  <si>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</si>
  <si>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</si>
  <si>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</si>
  <si>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</si>
  <si>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</si>
  <si>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</si>
  <si>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</si>
  <si>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</si>
  <si>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</si>
  <si>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</si>
  <si>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</si>
  <si>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</si>
  <si>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</si>
  <si>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</si>
  <si>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</si>
  <si>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</si>
  <si>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</si>
  <si>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</si>
  <si>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</si>
  <si>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</si>
  <si>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</si>
  <si>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</si>
  <si>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</si>
  <si>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</si>
  <si>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</si>
  <si>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</si>
  <si>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</si>
  <si>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</si>
  <si>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</si>
  <si>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</si>
  <si>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</si>
  <si>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</si>
  <si>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</si>
  <si>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</si>
  <si>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</si>
  <si>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</si>
  <si>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</si>
  <si>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</si>
  <si>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</si>
  <si>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</si>
  <si>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</si>
  <si>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</si>
  <si>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</si>
  <si>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</si>
  <si>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</si>
  <si>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</si>
  <si>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</si>
  <si>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</si>
  <si>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</si>
  <si>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</si>
  <si>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</si>
  <si>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</si>
  <si>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</si>
  <si>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</si>
  <si>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</si>
  <si>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</si>
  <si>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</si>
  <si>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</si>
  <si>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</si>
  <si>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</si>
  <si>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</si>
  <si>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</si>
  <si>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</si>
  <si>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</si>
  <si>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</si>
  <si>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</si>
  <si>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</si>
  <si>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</si>
  <si>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</si>
  <si>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</si>
  <si>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</si>
  <si>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</si>
  <si>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</si>
  <si>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</si>
  <si>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</si>
  <si>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</si>
  <si>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</si>
  <si>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</si>
  <si>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</si>
  <si>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</si>
  <si>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</si>
  <si>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</si>
  <si>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</si>
  <si>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</si>
  <si>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</si>
  <si>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</si>
  <si>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</si>
  <si>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</si>
  <si>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</si>
  <si>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</si>
  <si>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</si>
  <si>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</si>
  <si>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</si>
  <si>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</si>
  <si>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</si>
  <si>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</si>
  <si>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</si>
  <si>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</si>
  <si>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</si>
  <si>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</si>
  <si>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</si>
  <si>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</si>
  <si>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</si>
  <si>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</si>
  <si>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</si>
  <si>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</si>
  <si>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</si>
  <si>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</si>
  <si>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</si>
  <si>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</si>
  <si>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</si>
  <si>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</si>
  <si>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</si>
  <si>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</si>
  <si>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</si>
  <si>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</si>
  <si>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</si>
  <si>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</si>
  <si>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</si>
  <si>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</si>
  <si>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</si>
  <si>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</si>
  <si>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</si>
  <si>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</si>
  <si>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</si>
  <si>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</si>
  <si>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</si>
  <si>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</si>
  <si>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</si>
  <si>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</si>
  <si>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</si>
  <si>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</si>
  <si>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</si>
  <si>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</si>
  <si>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</si>
  <si>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</si>
  <si>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</si>
  <si>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</si>
  <si>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</si>
  <si>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</si>
  <si>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</si>
  <si>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</si>
  <si>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</si>
  <si>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</si>
  <si>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</si>
  <si>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</si>
  <si>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</si>
  <si>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</si>
  <si>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</si>
  <si>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</si>
  <si>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</si>
  <si>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</si>
  <si>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</si>
  <si>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</si>
  <si>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</si>
  <si>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</si>
  <si>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</si>
  <si>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</si>
  <si>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</si>
  <si>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</si>
  <si>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</si>
  <si>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</si>
  <si>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</si>
  <si>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</si>
  <si>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</si>
  <si>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</si>
  <si>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</si>
  <si>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</si>
  <si>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</si>
  <si>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</si>
  <si>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</si>
  <si>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</si>
  <si>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</si>
  <si>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</si>
  <si>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</si>
  <si>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</si>
  <si>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</si>
  <si>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</si>
  <si>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</si>
  <si>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</si>
  <si>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</si>
  <si>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</si>
  <si>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</si>
  <si>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</si>
  <si>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</si>
  <si>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</si>
  <si>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</si>
  <si>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</si>
  <si>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</si>
  <si>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</si>
  <si>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</si>
  <si>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</si>
  <si>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</si>
  <si>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</si>
  <si>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</si>
  <si>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</si>
  <si>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</si>
  <si>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</si>
  <si>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</si>
  <si>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</si>
  <si>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</si>
  <si>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</si>
  <si>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</si>
  <si>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</si>
  <si>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</si>
  <si>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</si>
  <si>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</si>
  <si>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</si>
  <si>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</si>
  <si>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</si>
  <si>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</si>
  <si>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</si>
  <si>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</si>
  <si>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</si>
  <si>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</si>
  <si>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</si>
  <si>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</si>
  <si>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</si>
  <si>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</si>
  <si>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</si>
  <si>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</si>
  <si>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</si>
  <si>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</si>
  <si>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</si>
  <si>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</si>
  <si>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</si>
  <si>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</si>
  <si>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</si>
  <si>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</si>
  <si>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</si>
  <si>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</si>
  <si>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</si>
  <si>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</si>
  <si>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</si>
  <si>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</si>
  <si>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</si>
  <si>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</si>
  <si>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</si>
  <si>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</si>
  <si>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</si>
  <si>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</si>
  <si>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</si>
  <si>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</si>
  <si>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</si>
  <si>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</si>
  <si>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</si>
  <si>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</si>
  <si>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</si>
  <si>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</si>
  <si>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</si>
  <si>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</si>
  <si>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</si>
  <si>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</si>
  <si>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</si>
  <si>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</si>
  <si>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</si>
  <si>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</si>
  <si>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</si>
  <si>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</si>
  <si>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</si>
  <si>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</si>
  <si>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</si>
  <si>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</si>
  <si>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</si>
  <si>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</si>
  <si>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</si>
  <si>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</si>
  <si>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</si>
  <si>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</si>
  <si>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</si>
  <si>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</si>
  <si>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</si>
  <si>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</si>
  <si>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</si>
  <si>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</si>
  <si>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</si>
  <si>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</si>
  <si>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</si>
  <si>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</si>
  <si>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</si>
  <si>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</si>
  <si>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</si>
  <si>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</si>
  <si>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</si>
  <si>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</si>
  <si>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</si>
  <si>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</si>
  <si>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</si>
  <si>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</si>
  <si>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</si>
  <si>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</si>
  <si>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</si>
  <si>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</si>
  <si>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</si>
  <si>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</si>
  <si>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</si>
  <si>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</si>
  <si>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</si>
  <si>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</si>
  <si>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</si>
  <si>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</si>
  <si>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</si>
  <si>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</si>
  <si>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</si>
  <si>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</si>
  <si>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</si>
  <si>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</si>
  <si>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</si>
  <si>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</si>
  <si>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</si>
  <si>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</si>
  <si>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</si>
  <si>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</si>
  <si>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</si>
  <si>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</si>
  <si>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</si>
  <si>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</si>
  <si>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</si>
  <si>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</si>
  <si>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</si>
  <si>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</si>
  <si>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</si>
  <si>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</si>
  <si>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</si>
  <si>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</si>
  <si>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</si>
  <si>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</si>
  <si>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</si>
  <si>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</si>
  <si>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</si>
  <si>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</si>
  <si>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</si>
  <si>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</si>
  <si>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</si>
  <si>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</si>
  <si>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</si>
  <si>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</si>
  <si>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</si>
  <si>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</si>
  <si>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</si>
  <si>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</si>
  <si>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</si>
  <si>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</si>
  <si>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</si>
  <si>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</si>
  <si>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</si>
  <si>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</si>
  <si>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</si>
  <si>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</si>
  <si>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</si>
  <si>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</si>
  <si>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</si>
  <si>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</si>
  <si>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</si>
  <si>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</si>
  <si>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</si>
  <si>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</si>
  <si>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</si>
  <si>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</si>
  <si>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</si>
  <si>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</si>
  <si>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</si>
  <si>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</si>
  <si>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</si>
  <si>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</si>
  <si>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</si>
  <si>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</si>
  <si>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</si>
  <si>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</si>
  <si>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</si>
  <si>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</si>
  <si>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</si>
  <si>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</si>
  <si>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</si>
  <si>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</si>
  <si>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</si>
  <si>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</si>
  <si>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</si>
  <si>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</si>
  <si>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</si>
  <si>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</si>
  <si>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</si>
  <si>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</si>
  <si>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</si>
  <si>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</si>
  <si>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</si>
  <si>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</si>
  <si>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</si>
  <si>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</si>
  <si>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</si>
  <si>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</si>
  <si>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</si>
  <si>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</si>
  <si>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</si>
  <si>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</si>
  <si>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</si>
  <si>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</si>
  <si>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</si>
  <si>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</si>
  <si>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</si>
  <si>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</si>
  <si>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</si>
  <si>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</si>
  <si>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</si>
  <si>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</si>
  <si>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</si>
  <si>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</si>
  <si>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</si>
  <si>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</si>
  <si>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</si>
  <si>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</si>
  <si>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</si>
  <si>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</si>
  <si>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</si>
  <si>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</si>
  <si>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</si>
  <si>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</si>
  <si>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</si>
  <si>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</si>
  <si>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</si>
  <si>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</si>
  <si>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</si>
  <si>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</si>
  <si>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</si>
  <si>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</si>
  <si>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</si>
  <si>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</si>
  <si>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</si>
  <si>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</si>
  <si>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</si>
  <si>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</si>
  <si>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</si>
  <si>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</si>
  <si>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</si>
  <si>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</si>
  <si>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</si>
  <si>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</si>
  <si>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</si>
  <si>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</si>
  <si>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</si>
  <si>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</si>
  <si>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</si>
  <si>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</si>
  <si>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</si>
  <si>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</si>
  <si>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</si>
  <si>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</si>
  <si>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</si>
  <si>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</si>
  <si>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</si>
  <si>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</si>
  <si>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</si>
  <si>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</si>
  <si>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</si>
  <si>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</si>
  <si>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</si>
  <si>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</si>
  <si>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</si>
  <si>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</si>
  <si>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</si>
  <si>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</si>
  <si>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</si>
  <si>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</si>
  <si>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</si>
  <si>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</si>
  <si>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</si>
  <si>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</si>
  <si>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</si>
  <si>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</si>
  <si>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</si>
  <si>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</si>
  <si>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</si>
  <si>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</si>
  <si>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</si>
  <si>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</si>
  <si>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</si>
  <si>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</si>
  <si>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</si>
  <si>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</si>
  <si>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</si>
  <si>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</si>
  <si>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</si>
  <si>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</si>
  <si>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</si>
  <si>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</si>
  <si>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</si>
  <si>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</si>
  <si>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</si>
  <si>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</si>
  <si>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</si>
  <si>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</si>
  <si>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</si>
  <si>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</si>
  <si>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</si>
  <si>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</si>
  <si>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</si>
  <si>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</si>
  <si>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</si>
  <si>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</si>
  <si>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</si>
  <si>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</si>
  <si>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</si>
  <si>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</si>
  <si>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</si>
  <si>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</si>
  <si>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</si>
  <si>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</si>
  <si>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</si>
  <si>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</si>
  <si>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</si>
  <si>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</si>
  <si>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</si>
  <si>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</si>
  <si>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</si>
  <si>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</si>
  <si>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</si>
  <si>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</si>
  <si>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</si>
  <si>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</si>
  <si>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</si>
  <si>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</si>
  <si>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</si>
  <si>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</si>
  <si>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</si>
  <si>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</si>
  <si>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</si>
  <si>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</si>
  <si>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</si>
  <si>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</si>
  <si>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</si>
  <si>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</si>
  <si>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</si>
  <si>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</si>
  <si>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</si>
  <si>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</si>
  <si>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</si>
  <si>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</si>
  <si>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</si>
  <si>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</si>
  <si>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</si>
  <si>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</si>
  <si>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</si>
  <si>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طلا کم است. سوییچ بین سکه9712 و سکه 9812 و لوتوس</t>
  </si>
  <si>
    <t>انتقال از ملت علی به ملت مریم</t>
  </si>
  <si>
    <t>قطره گوش مریم</t>
  </si>
  <si>
    <t>بن ملت مریم</t>
  </si>
  <si>
    <t>وقتی پول نقد داری یا طلا همه را سهام خرید نکن شاید ارزون بشه. رفت بالا بفروش، اومد پایین میانگین کم کن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</si>
  <si>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</si>
  <si>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</si>
  <si>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</si>
  <si>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</si>
  <si>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</si>
  <si>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</si>
  <si>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</si>
  <si>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</si>
  <si>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</si>
  <si>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</si>
  <si>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</si>
  <si>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</si>
  <si>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</si>
  <si>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</si>
  <si>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</si>
  <si>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</si>
  <si>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</si>
  <si>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</si>
  <si>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</si>
  <si>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</si>
  <si>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</si>
  <si>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</si>
  <si>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</si>
  <si>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</si>
  <si>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</si>
  <si>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</si>
  <si>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</si>
  <si>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</si>
  <si>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</si>
  <si>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</si>
  <si>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</si>
  <si>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</si>
  <si>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</si>
  <si>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</si>
  <si>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وام بانک ملی 1 قسط 24/6</t>
  </si>
  <si>
    <t>طلب از مریم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</si>
  <si>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</si>
  <si>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</si>
  <si>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</si>
  <si>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</si>
  <si>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</si>
  <si>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</si>
  <si>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</si>
  <si>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</si>
  <si>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</si>
  <si>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</si>
  <si>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</si>
  <si>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</si>
  <si>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</si>
  <si>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</si>
  <si>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</si>
  <si>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</si>
  <si>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</si>
  <si>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</si>
  <si>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</si>
  <si>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</si>
  <si>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</si>
  <si>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</si>
  <si>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</si>
  <si>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</si>
  <si>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</si>
  <si>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</si>
  <si>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</si>
  <si>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</si>
  <si>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</si>
  <si>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</si>
  <si>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</si>
  <si>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</si>
  <si>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</si>
  <si>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</si>
  <si>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</si>
  <si>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</si>
  <si>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</si>
  <si>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</si>
  <si>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</si>
  <si>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</si>
  <si>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</si>
  <si>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</si>
  <si>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</si>
  <si>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</si>
  <si>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</si>
  <si>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</si>
  <si>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</si>
  <si>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</si>
  <si>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</si>
  <si>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</si>
  <si>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</si>
  <si>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</si>
  <si>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</si>
  <si>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</si>
  <si>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</si>
  <si>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</si>
  <si>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</si>
  <si>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</si>
  <si>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</si>
  <si>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</si>
  <si>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</si>
  <si>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</si>
  <si>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</si>
  <si>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</si>
  <si>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</si>
  <si>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</si>
  <si>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</si>
  <si>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</si>
  <si>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</si>
  <si>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</si>
  <si>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</si>
  <si>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</si>
  <si>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</si>
  <si>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</si>
  <si>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</si>
  <si>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</si>
  <si>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</si>
  <si>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</si>
  <si>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</si>
  <si>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</si>
  <si>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</si>
  <si>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</si>
  <si>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</si>
  <si>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</si>
  <si>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</si>
  <si>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</si>
  <si>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</si>
  <si>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</si>
  <si>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</si>
  <si>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</si>
  <si>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</si>
  <si>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</si>
  <si>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</si>
  <si>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</si>
  <si>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</si>
  <si>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</si>
  <si>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</si>
  <si>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</si>
  <si>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</si>
  <si>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</si>
  <si>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</si>
  <si>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</si>
  <si>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</si>
  <si>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</si>
  <si>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</si>
  <si>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</si>
  <si>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</si>
  <si>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</si>
  <si>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</si>
  <si>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</si>
  <si>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</si>
  <si>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</si>
  <si>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طلب از داریوش 19666 تا وغدیر 21/7/97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</si>
  <si>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</si>
  <si>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</si>
  <si>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</si>
  <si>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</si>
  <si>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</si>
  <si>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</si>
  <si>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</si>
  <si>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</si>
  <si>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</si>
  <si>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وغدیر 190.3 که 19666 تا  در حساب داریوش است</t>
  </si>
  <si>
    <t>سهم علی از فروش 55000 وغدیر 24/7</t>
  </si>
  <si>
    <t>ضرر خرید و فروش وغدیر حساب مریم 24/7</t>
  </si>
  <si>
    <t>با حساب مریم در مجموع حدود 205 میلیون وغدیر داریم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</si>
  <si>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</si>
  <si>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</si>
  <si>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</si>
  <si>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</si>
  <si>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زپارس 155 تا 350</t>
  </si>
  <si>
    <t>25/7/1397</t>
  </si>
  <si>
    <t>زپارس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</si>
  <si>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</si>
  <si>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</si>
  <si>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</si>
  <si>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</si>
  <si>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</si>
  <si>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</si>
  <si>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</si>
  <si>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</si>
  <si>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</si>
  <si>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</si>
  <si>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</si>
  <si>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</si>
  <si>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</si>
  <si>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</si>
  <si>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سپرده</t>
  </si>
  <si>
    <t>سود وام</t>
  </si>
  <si>
    <t>بدهی وام</t>
  </si>
  <si>
    <t>قسط وام</t>
  </si>
  <si>
    <t>موجودی حساب اول</t>
  </si>
  <si>
    <t>سود سپرده اول</t>
  </si>
  <si>
    <t>موجودی حساب سپرده دوم</t>
  </si>
  <si>
    <t>سود سپرده دوم</t>
  </si>
  <si>
    <t>سود فروش 100000 تا وغدیر 29/7</t>
  </si>
  <si>
    <t>خرید وغدیر  شاراک شپدیس شلرد ونیروح وصندوق</t>
  </si>
  <si>
    <t>وصندوق nav برابر 369 قیمت 281 معادل 76 درصد</t>
  </si>
  <si>
    <t>وغدیر nav برابر 266 قیمت 216 معادل 81 درصد</t>
  </si>
  <si>
    <t>وساپا 114 94 82%</t>
  </si>
  <si>
    <t>ونیکی 509 248 48%</t>
  </si>
  <si>
    <t>وصنعت 218 141 64%</t>
  </si>
  <si>
    <t>خرید و فروش 50000 تا وغدیر 30/7</t>
  </si>
  <si>
    <t>30/7/1397</t>
  </si>
  <si>
    <t>وتوسم 260 190 73%</t>
  </si>
  <si>
    <t>در بورس مریم</t>
  </si>
  <si>
    <t>مانده فروش 10 عدد سکه مریم دست علی. 42.705 سکه ها رو فروختم. 29.2 به مهدی بابت بدهی فروش سهام دادم و 13 به حساب بورس مریم واریز کردم</t>
  </si>
  <si>
    <t>قیمت واحد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</si>
  <si>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</si>
  <si>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</si>
  <si>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</si>
  <si>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</si>
  <si>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</si>
  <si>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نماد</t>
  </si>
  <si>
    <t>حساب مریم</t>
  </si>
  <si>
    <t>ارزش کل</t>
  </si>
  <si>
    <t>وصنعت</t>
  </si>
  <si>
    <t>وصنعت 80808 تا 139.5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</si>
  <si>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</si>
  <si>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</si>
  <si>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</si>
  <si>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</si>
  <si>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</si>
  <si>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</si>
  <si>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</si>
  <si>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</si>
  <si>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</si>
  <si>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</si>
  <si>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</si>
  <si>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</si>
  <si>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</si>
  <si>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</si>
  <si>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</si>
  <si>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 xml:space="preserve"> وصنعت</t>
  </si>
  <si>
    <t>وغدیر 48028 تا 192.1</t>
  </si>
  <si>
    <t>وبانک 4602 تا 313.7</t>
  </si>
  <si>
    <t>7/8/1397</t>
  </si>
  <si>
    <t>وبانک 1265 تا 314.8</t>
  </si>
  <si>
    <t>وبانک 27637 تا 313</t>
  </si>
  <si>
    <t>وصنعت 21179 تا 141</t>
  </si>
  <si>
    <t xml:space="preserve">وبانک </t>
  </si>
  <si>
    <t>سهم علی خرید و فروش 50000 تا وغدیر 7/8</t>
  </si>
  <si>
    <t>وغدیر 44349 تا 214.57</t>
  </si>
  <si>
    <t>بدهی وام انصار 2 قسط 3/7/97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</si>
  <si>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</si>
  <si>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</si>
  <si>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</si>
  <si>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</si>
  <si>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</si>
  <si>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</si>
  <si>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</si>
  <si>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</si>
  <si>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</si>
  <si>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</si>
  <si>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</si>
  <si>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</si>
  <si>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</si>
  <si>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</si>
  <si>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</si>
  <si>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</si>
  <si>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</si>
  <si>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</si>
  <si>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</si>
  <si>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</si>
  <si>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</si>
  <si>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</si>
  <si>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طلب از هاجر رسول زاده 10/8/97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</si>
  <si>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</si>
  <si>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</si>
  <si>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</si>
  <si>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</si>
  <si>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</si>
  <si>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</si>
  <si>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</si>
  <si>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</si>
  <si>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بدهی وام بانک ملی 2 قسط 1/8/97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</si>
  <si>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</si>
  <si>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</si>
  <si>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</si>
  <si>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</si>
  <si>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</si>
  <si>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</si>
  <si>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</si>
  <si>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</si>
  <si>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</si>
  <si>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</si>
  <si>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</si>
  <si>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</si>
  <si>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</si>
  <si>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</si>
  <si>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معادل 2.37 عدد سکه بابت تابلو فرش از سهام فروختم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</si>
  <si>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</si>
  <si>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</si>
  <si>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</si>
  <si>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</si>
  <si>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</si>
  <si>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</si>
  <si>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</si>
  <si>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شبصیر 126 تا 850</t>
  </si>
  <si>
    <t>شبصیر</t>
  </si>
  <si>
    <t>شبصیر 125 تا 850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</si>
  <si>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</si>
  <si>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</si>
  <si>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</si>
  <si>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</si>
  <si>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</si>
  <si>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</si>
  <si>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</si>
  <si>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</si>
  <si>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</si>
  <si>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</si>
  <si>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</si>
  <si>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</si>
  <si>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بدهی به مهدی دکتر</t>
  </si>
  <si>
    <t>21/8/1397</t>
  </si>
  <si>
    <t>از بورس به ملت علی 21/8</t>
  </si>
  <si>
    <t>19/8/1397</t>
  </si>
  <si>
    <t>وبانک 4680 تا 310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</si>
  <si>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</si>
  <si>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</si>
  <si>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</si>
  <si>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</si>
  <si>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</si>
  <si>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</si>
  <si>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</si>
  <si>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</si>
  <si>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وصنعت 6344 تا 141.7</t>
  </si>
  <si>
    <t>وبانک 9393 تا 303.6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</si>
  <si>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</si>
  <si>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</si>
  <si>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</si>
  <si>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</si>
  <si>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</si>
  <si>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</si>
  <si>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</si>
  <si>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</si>
  <si>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پول نقد حاصل از فروش 23824 تا وتوسم</t>
  </si>
  <si>
    <t>قیمت خرید بیضرر سکه</t>
  </si>
  <si>
    <t>بدهی داود بابت عسل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</si>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</sst>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00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0" fillId="0" borderId="1" xfId="0" applyFont="1" applyBorder="1"/>
    <xf numFmtId="164" fontId="10" fillId="0" borderId="1" xfId="0" applyNumberFormat="1" applyFont="1" applyFill="1" applyBorder="1" applyAlignment="1">
      <alignment horizontal="center"/>
    </xf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1" fillId="0" borderId="0" xfId="0" applyFont="1"/>
    <xf numFmtId="0" fontId="0" fillId="2" borderId="0" xfId="0" applyFill="1" applyBorder="1"/>
    <xf numFmtId="0" fontId="0" fillId="33" borderId="0" xfId="0" applyFill="1" applyBorder="1"/>
    <xf numFmtId="0" fontId="0" fillId="0" borderId="5" xfId="0" applyBorder="1"/>
    <xf numFmtId="0" fontId="0" fillId="11" borderId="1" xfId="0" applyFill="1" applyBorder="1"/>
    <xf numFmtId="0" fontId="12" fillId="0" borderId="0" xfId="0" applyFont="1"/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90" t="s">
        <v>4263</v>
      </c>
      <c r="B1" t="s">
        <v>4264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79000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44000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3400</v>
      </c>
      <c r="H31" s="11" t="s">
        <v>1041</v>
      </c>
      <c r="I31" s="11">
        <v>240600</v>
      </c>
      <c r="J31" s="11" t="s">
        <v>477</v>
      </c>
    </row>
    <row r="32" spans="2:21">
      <c r="G32" s="11">
        <f>$I$47-I32</f>
        <v>59000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13000</v>
      </c>
      <c r="H33" s="11" t="s">
        <v>1104</v>
      </c>
      <c r="I33" s="11">
        <v>231000</v>
      </c>
      <c r="J33" s="11" t="s">
        <v>566</v>
      </c>
    </row>
    <row r="34" spans="6:23">
      <c r="G34" s="11">
        <f t="shared" si="5"/>
        <v>14000</v>
      </c>
      <c r="H34" s="11" t="s">
        <v>1041</v>
      </c>
      <c r="I34" s="11">
        <v>230000</v>
      </c>
      <c r="J34" s="11" t="s">
        <v>567</v>
      </c>
    </row>
    <row r="35" spans="6:23">
      <c r="G35" s="11">
        <f t="shared" si="5"/>
        <v>3400</v>
      </c>
      <c r="H35" s="11" t="s">
        <v>1104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25000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26000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19500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54000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19000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13000</v>
      </c>
      <c r="H41" s="11" t="s">
        <v>1104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28000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17000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15000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13000</v>
      </c>
      <c r="H45" s="11" t="s">
        <v>1104</v>
      </c>
      <c r="I45" s="11">
        <v>231000</v>
      </c>
      <c r="J45" s="11" t="s">
        <v>1103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244000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3"/>
  <sheetViews>
    <sheetView topLeftCell="A13" workbookViewId="0">
      <selection activeCell="K61" sqref="K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4175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4347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3895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4354</v>
      </c>
      <c r="B4" s="18">
        <v>-3200000</v>
      </c>
      <c r="C4" s="18">
        <v>0</v>
      </c>
      <c r="D4" s="113">
        <f t="shared" si="0"/>
        <v>-3200000</v>
      </c>
      <c r="E4" s="99" t="s">
        <v>4368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4354</v>
      </c>
      <c r="B5" s="18">
        <v>2400000</v>
      </c>
      <c r="C5" s="18">
        <v>0</v>
      </c>
      <c r="D5" s="113">
        <f t="shared" si="0"/>
        <v>2400000</v>
      </c>
      <c r="E5" s="20" t="s">
        <v>4371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4379</v>
      </c>
      <c r="B6" s="18">
        <v>-2000700</v>
      </c>
      <c r="C6" s="18">
        <v>0</v>
      </c>
      <c r="D6" s="113">
        <f t="shared" si="0"/>
        <v>-2000700</v>
      </c>
      <c r="E6" s="19" t="s">
        <v>4380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4379</v>
      </c>
      <c r="B7" s="18">
        <v>-200000</v>
      </c>
      <c r="C7" s="18">
        <v>0</v>
      </c>
      <c r="D7" s="113">
        <f t="shared" si="0"/>
        <v>-200000</v>
      </c>
      <c r="E7" s="19" t="s">
        <v>4381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4379</v>
      </c>
      <c r="B8" s="18">
        <v>-1900000</v>
      </c>
      <c r="C8" s="18">
        <v>0</v>
      </c>
      <c r="D8" s="113">
        <f t="shared" si="0"/>
        <v>-1900000</v>
      </c>
      <c r="E8" s="19" t="s">
        <v>4382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4386</v>
      </c>
      <c r="B9" s="18">
        <v>-50000</v>
      </c>
      <c r="C9" s="18">
        <v>0</v>
      </c>
      <c r="D9" s="113">
        <f t="shared" si="0"/>
        <v>-50000</v>
      </c>
      <c r="E9" s="21" t="s">
        <v>4387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4400</v>
      </c>
      <c r="B10" s="18">
        <v>9700000</v>
      </c>
      <c r="C10" s="18">
        <v>0</v>
      </c>
      <c r="D10" s="113">
        <f t="shared" si="0"/>
        <v>9700000</v>
      </c>
      <c r="E10" s="19" t="s">
        <v>3895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4400</v>
      </c>
      <c r="B11" s="18">
        <v>-3000900</v>
      </c>
      <c r="C11" s="18">
        <v>0</v>
      </c>
      <c r="D11" s="113">
        <f t="shared" si="0"/>
        <v>-3000900</v>
      </c>
      <c r="E11" s="19" t="s">
        <v>4409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4401</v>
      </c>
      <c r="B12" s="18">
        <v>-3000900</v>
      </c>
      <c r="C12" s="18">
        <v>0</v>
      </c>
      <c r="D12" s="113">
        <f t="shared" si="0"/>
        <v>-3000900</v>
      </c>
      <c r="E12" s="20" t="s">
        <v>4409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4401</v>
      </c>
      <c r="B13" s="18">
        <v>-555000</v>
      </c>
      <c r="C13" s="18">
        <v>0</v>
      </c>
      <c r="D13" s="113">
        <f t="shared" si="0"/>
        <v>-555000</v>
      </c>
      <c r="E13" s="20" t="s">
        <v>4276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4424</v>
      </c>
      <c r="B14" s="18">
        <v>-138360</v>
      </c>
      <c r="C14" s="18">
        <v>0</v>
      </c>
      <c r="D14" s="113">
        <f t="shared" si="0"/>
        <v>-138360</v>
      </c>
      <c r="E14" s="20" t="s">
        <v>4425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4427</v>
      </c>
      <c r="B15" s="18">
        <v>-3000900</v>
      </c>
      <c r="C15" s="18">
        <v>0</v>
      </c>
      <c r="D15" s="117">
        <f t="shared" si="0"/>
        <v>-3000900</v>
      </c>
      <c r="E15" s="20" t="s">
        <v>4409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4434</v>
      </c>
      <c r="B16" s="18">
        <v>-55000</v>
      </c>
      <c r="C16" s="18">
        <v>0</v>
      </c>
      <c r="D16" s="113">
        <f t="shared" si="0"/>
        <v>-55000</v>
      </c>
      <c r="E16" s="20" t="s">
        <v>4162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4457</v>
      </c>
      <c r="B17" s="18">
        <v>6035000</v>
      </c>
      <c r="C17" s="18">
        <v>0</v>
      </c>
      <c r="D17" s="113">
        <f t="shared" si="0"/>
        <v>6035000</v>
      </c>
      <c r="E17" s="20" t="s">
        <v>3895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4468</v>
      </c>
      <c r="B18" s="18">
        <v>-4098523</v>
      </c>
      <c r="C18" s="18">
        <v>0</v>
      </c>
      <c r="D18" s="113">
        <f t="shared" si="0"/>
        <v>-4098523</v>
      </c>
      <c r="E18" s="20" t="s">
        <v>4467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4468</v>
      </c>
      <c r="B19" s="18">
        <v>-33225</v>
      </c>
      <c r="C19" s="18">
        <v>0</v>
      </c>
      <c r="D19" s="113">
        <f t="shared" si="0"/>
        <v>-33225</v>
      </c>
      <c r="E19" s="20" t="s">
        <v>4276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4468</v>
      </c>
      <c r="B20" s="18">
        <v>-1895000</v>
      </c>
      <c r="C20" s="18">
        <v>0</v>
      </c>
      <c r="D20" s="113">
        <f t="shared" si="0"/>
        <v>-1895000</v>
      </c>
      <c r="E20" s="19" t="s">
        <v>3773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4464</v>
      </c>
      <c r="B21" s="18">
        <v>-7500</v>
      </c>
      <c r="C21" s="18">
        <v>0</v>
      </c>
      <c r="D21" s="113">
        <f t="shared" si="0"/>
        <v>-7500</v>
      </c>
      <c r="E21" s="19" t="s">
        <v>4465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4140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4160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4160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4165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4178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8130</v>
      </c>
      <c r="C27" s="113">
        <f>SUM(C2:C26)</f>
        <v>7968789</v>
      </c>
      <c r="D27" s="113">
        <f>SUM(D2:D26)</f>
        <v>-7960659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29068900</v>
      </c>
      <c r="H28" s="18">
        <f>SUM(H2:H26)</f>
        <v>239063670</v>
      </c>
      <c r="I28" s="18">
        <f>SUM(I2:I26)</f>
        <v>-209994770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v>600</v>
      </c>
      <c r="H33" s="18">
        <f>G33*H28/G28</f>
        <v>4934.4213919343356</v>
      </c>
      <c r="I33" s="18">
        <f>G33*I28/G28</f>
        <v>-4334.4213919343356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4327</v>
      </c>
      <c r="F34" s="96"/>
      <c r="G34" s="9" t="s">
        <v>1038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4326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4328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4329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4336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4339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4340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4344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4345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4346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4348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4349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4350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4359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4367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4372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4388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4385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4383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4389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4392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4397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4404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4405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4406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4407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4404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4410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4415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4419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4423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4428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4430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4433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4436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4437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4438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4439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4441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4439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4443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4446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4447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4448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4449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4450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4453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4458</v>
      </c>
    </row>
    <row r="82" spans="4:5">
      <c r="D82" s="114">
        <v>-142143</v>
      </c>
      <c r="E82" s="54" t="s">
        <v>4462</v>
      </c>
    </row>
    <row r="83" spans="4:5">
      <c r="D83" s="114">
        <v>-128352</v>
      </c>
      <c r="E83" s="54" t="s">
        <v>4461</v>
      </c>
    </row>
    <row r="84" spans="4:5">
      <c r="D84" s="114">
        <v>-6035000</v>
      </c>
      <c r="E84" s="54" t="s">
        <v>4471</v>
      </c>
    </row>
    <row r="85" spans="4:5">
      <c r="D85" s="114">
        <v>-55957</v>
      </c>
      <c r="E85" s="54" t="s">
        <v>4470</v>
      </c>
    </row>
    <row r="86" spans="4:5">
      <c r="D86" s="114">
        <v>7500</v>
      </c>
      <c r="E86" s="54" t="s">
        <v>4469</v>
      </c>
    </row>
    <row r="87" spans="4:5">
      <c r="D87" s="114"/>
      <c r="E87" s="54"/>
    </row>
    <row r="88" spans="4:5">
      <c r="D88" s="114"/>
      <c r="E88" s="54" t="s">
        <v>25</v>
      </c>
    </row>
    <row r="89" spans="4:5">
      <c r="D89" s="114"/>
      <c r="E89" s="54" t="s">
        <v>25</v>
      </c>
    </row>
    <row r="90" spans="4:5">
      <c r="D90" s="96"/>
      <c r="E90" s="54" t="s">
        <v>25</v>
      </c>
    </row>
    <row r="91" spans="4:5">
      <c r="D91" s="114">
        <f>SUM(D33:D90)</f>
        <v>-57302066</v>
      </c>
      <c r="E91" s="96" t="s">
        <v>6</v>
      </c>
    </row>
    <row r="92" spans="4:5">
      <c r="D92" s="114"/>
      <c r="E92" s="41"/>
    </row>
    <row r="93" spans="4:5">
      <c r="D93" s="96"/>
      <c r="E93" s="96" t="s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zoomScaleNormal="100" workbookViewId="0">
      <pane ySplit="1" topLeftCell="A233" activePane="bottomLeft" state="frozen"/>
      <selection pane="bottomLeft" activeCell="F242" sqref="F242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952</v>
      </c>
      <c r="H2" s="36">
        <f>IF(B2&gt;0,1,0)</f>
        <v>1</v>
      </c>
      <c r="I2" s="11">
        <f>B2*(G2-H2)</f>
        <v>15881700</v>
      </c>
      <c r="J2" s="53">
        <f>C2*(G2-H2)</f>
        <v>15881700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951</v>
      </c>
      <c r="H3" s="36">
        <f t="shared" ref="H3:H66" si="2">IF(B3&gt;0,1,0)</f>
        <v>1</v>
      </c>
      <c r="I3" s="11">
        <f t="shared" ref="I3:I66" si="3">B3*(G3-H3)</f>
        <v>18905000000</v>
      </c>
      <c r="J3" s="53">
        <f t="shared" ref="J3:J66" si="4">C3*(G3-H3)</f>
        <v>10817650000</v>
      </c>
      <c r="K3" s="53">
        <f t="shared" ref="K3:K66" si="5">D3*(G3-H3)</f>
        <v>8087350000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951</v>
      </c>
      <c r="H4" s="36">
        <f t="shared" si="2"/>
        <v>0</v>
      </c>
      <c r="I4" s="11">
        <f t="shared" si="3"/>
        <v>0</v>
      </c>
      <c r="J4" s="53">
        <f t="shared" si="4"/>
        <v>8083500</v>
      </c>
      <c r="K4" s="53">
        <f t="shared" si="5"/>
        <v>-8083500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949</v>
      </c>
      <c r="H5" s="36">
        <f t="shared" si="2"/>
        <v>1</v>
      </c>
      <c r="I5" s="11">
        <f t="shared" si="3"/>
        <v>1896000000</v>
      </c>
      <c r="J5" s="53">
        <f t="shared" si="4"/>
        <v>0</v>
      </c>
      <c r="K5" s="53">
        <f t="shared" si="5"/>
        <v>1896000000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942</v>
      </c>
      <c r="H6" s="36">
        <f t="shared" si="2"/>
        <v>0</v>
      </c>
      <c r="I6" s="11">
        <f t="shared" si="3"/>
        <v>-4710000</v>
      </c>
      <c r="J6" s="53">
        <f t="shared" si="4"/>
        <v>0</v>
      </c>
      <c r="K6" s="53">
        <f t="shared" si="5"/>
        <v>-4710000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938</v>
      </c>
      <c r="H7" s="36">
        <f t="shared" si="2"/>
        <v>0</v>
      </c>
      <c r="I7" s="11">
        <f t="shared" si="3"/>
        <v>-1126069000</v>
      </c>
      <c r="J7" s="53">
        <f t="shared" si="4"/>
        <v>0</v>
      </c>
      <c r="K7" s="53">
        <f t="shared" si="5"/>
        <v>-1126069000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937</v>
      </c>
      <c r="H8" s="36">
        <f t="shared" si="2"/>
        <v>0</v>
      </c>
      <c r="I8" s="11">
        <f t="shared" si="3"/>
        <v>-187400000</v>
      </c>
      <c r="J8" s="53">
        <f t="shared" si="4"/>
        <v>0</v>
      </c>
      <c r="K8" s="53">
        <f t="shared" si="5"/>
        <v>-187400000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935</v>
      </c>
      <c r="H9" s="36">
        <f t="shared" si="2"/>
        <v>0</v>
      </c>
      <c r="I9" s="11">
        <f t="shared" si="3"/>
        <v>-659642500</v>
      </c>
      <c r="J9" s="53">
        <f t="shared" si="4"/>
        <v>0</v>
      </c>
      <c r="K9" s="53">
        <f t="shared" si="5"/>
        <v>-659642500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926</v>
      </c>
      <c r="H10" s="36">
        <f t="shared" si="2"/>
        <v>0</v>
      </c>
      <c r="I10" s="11">
        <f t="shared" si="3"/>
        <v>-185200000</v>
      </c>
      <c r="J10" s="53">
        <f t="shared" si="4"/>
        <v>0</v>
      </c>
      <c r="K10" s="53">
        <f t="shared" si="5"/>
        <v>-185200000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926</v>
      </c>
      <c r="H11" s="36">
        <f t="shared" si="2"/>
        <v>1</v>
      </c>
      <c r="I11" s="11">
        <f t="shared" si="3"/>
        <v>925000000</v>
      </c>
      <c r="J11" s="53">
        <f t="shared" si="4"/>
        <v>0</v>
      </c>
      <c r="K11" s="53">
        <f t="shared" si="5"/>
        <v>925000000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922</v>
      </c>
      <c r="H12" s="36">
        <f t="shared" si="2"/>
        <v>0</v>
      </c>
      <c r="I12" s="11">
        <f t="shared" si="3"/>
        <v>-276600000</v>
      </c>
      <c r="J12" s="53">
        <f t="shared" si="4"/>
        <v>0</v>
      </c>
      <c r="K12" s="53">
        <f t="shared" si="5"/>
        <v>-276600000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917</v>
      </c>
      <c r="H13" s="36">
        <f t="shared" si="2"/>
        <v>0</v>
      </c>
      <c r="I13" s="11">
        <f t="shared" si="3"/>
        <v>-56854000</v>
      </c>
      <c r="J13" s="53">
        <f t="shared" si="4"/>
        <v>0</v>
      </c>
      <c r="K13" s="53">
        <f t="shared" si="5"/>
        <v>-56854000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917</v>
      </c>
      <c r="H14" s="36">
        <f t="shared" si="2"/>
        <v>1</v>
      </c>
      <c r="I14" s="11">
        <f t="shared" si="3"/>
        <v>1832000000</v>
      </c>
      <c r="J14" s="53">
        <f t="shared" si="4"/>
        <v>0</v>
      </c>
      <c r="K14" s="53">
        <f t="shared" si="5"/>
        <v>1832000000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916</v>
      </c>
      <c r="H15" s="36">
        <f t="shared" si="2"/>
        <v>1</v>
      </c>
      <c r="I15" s="11">
        <f t="shared" si="3"/>
        <v>1647000000</v>
      </c>
      <c r="J15" s="53">
        <f t="shared" si="4"/>
        <v>0</v>
      </c>
      <c r="K15" s="53">
        <f t="shared" si="5"/>
        <v>1647000000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916</v>
      </c>
      <c r="H16" s="36">
        <f t="shared" si="2"/>
        <v>0</v>
      </c>
      <c r="I16" s="11">
        <f t="shared" si="3"/>
        <v>-183200000</v>
      </c>
      <c r="J16" s="53">
        <f t="shared" si="4"/>
        <v>0</v>
      </c>
      <c r="K16" s="53">
        <f t="shared" si="5"/>
        <v>-183200000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912</v>
      </c>
      <c r="H17" s="36">
        <f t="shared" si="2"/>
        <v>0</v>
      </c>
      <c r="I17" s="11">
        <f t="shared" si="3"/>
        <v>-1824000000</v>
      </c>
      <c r="J17" s="53">
        <f t="shared" si="4"/>
        <v>0</v>
      </c>
      <c r="K17" s="53">
        <f t="shared" si="5"/>
        <v>-1824000000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911</v>
      </c>
      <c r="H18" s="36">
        <f t="shared" si="2"/>
        <v>0</v>
      </c>
      <c r="I18" s="11">
        <f t="shared" si="3"/>
        <v>-273300000</v>
      </c>
      <c r="J18" s="53">
        <f t="shared" si="4"/>
        <v>0</v>
      </c>
      <c r="K18" s="53">
        <f t="shared" si="5"/>
        <v>-273300000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910</v>
      </c>
      <c r="H19" s="36">
        <f t="shared" si="2"/>
        <v>0</v>
      </c>
      <c r="I19" s="11">
        <f t="shared" si="3"/>
        <v>-182000000</v>
      </c>
      <c r="J19" s="53">
        <f t="shared" si="4"/>
        <v>0</v>
      </c>
      <c r="K19" s="53">
        <f t="shared" si="5"/>
        <v>-182000000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908</v>
      </c>
      <c r="H20" s="36">
        <f t="shared" si="2"/>
        <v>1</v>
      </c>
      <c r="I20" s="11">
        <f t="shared" si="3"/>
        <v>245877723</v>
      </c>
      <c r="J20" s="53">
        <f t="shared" si="4"/>
        <v>133738964</v>
      </c>
      <c r="K20" s="53">
        <f t="shared" si="5"/>
        <v>112138759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906</v>
      </c>
      <c r="H21" s="36">
        <f t="shared" si="2"/>
        <v>0</v>
      </c>
      <c r="I21" s="11">
        <f t="shared" si="3"/>
        <v>-1364164200</v>
      </c>
      <c r="J21" s="53">
        <f t="shared" si="4"/>
        <v>0</v>
      </c>
      <c r="K21" s="53">
        <f t="shared" si="5"/>
        <v>-1364164200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903</v>
      </c>
      <c r="H22" s="36">
        <f t="shared" si="2"/>
        <v>1</v>
      </c>
      <c r="I22" s="11">
        <f t="shared" si="3"/>
        <v>2706000000</v>
      </c>
      <c r="J22" s="53">
        <f t="shared" si="4"/>
        <v>0</v>
      </c>
      <c r="K22" s="53">
        <f t="shared" si="5"/>
        <v>2706000000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902</v>
      </c>
      <c r="H23" s="36">
        <f t="shared" si="2"/>
        <v>1</v>
      </c>
      <c r="I23" s="11">
        <f t="shared" si="3"/>
        <v>901000000</v>
      </c>
      <c r="J23" s="53">
        <f t="shared" si="4"/>
        <v>0</v>
      </c>
      <c r="K23" s="53">
        <f t="shared" si="5"/>
        <v>901000000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901</v>
      </c>
      <c r="H24" s="36">
        <f t="shared" si="2"/>
        <v>0</v>
      </c>
      <c r="I24" s="11">
        <f t="shared" si="3"/>
        <v>-2703810900</v>
      </c>
      <c r="J24" s="53">
        <f t="shared" si="4"/>
        <v>0</v>
      </c>
      <c r="K24" s="53">
        <f t="shared" si="5"/>
        <v>-2703810900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886</v>
      </c>
      <c r="H25" s="36">
        <f t="shared" si="2"/>
        <v>1</v>
      </c>
      <c r="I25" s="11">
        <f t="shared" si="3"/>
        <v>1327500000</v>
      </c>
      <c r="J25" s="53">
        <f t="shared" si="4"/>
        <v>0</v>
      </c>
      <c r="K25" s="53">
        <f t="shared" si="5"/>
        <v>1327500000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878</v>
      </c>
      <c r="H26" s="36">
        <f t="shared" si="2"/>
        <v>0</v>
      </c>
      <c r="I26" s="11">
        <f t="shared" si="3"/>
        <v>-143992000</v>
      </c>
      <c r="J26" s="53">
        <f t="shared" si="4"/>
        <v>0</v>
      </c>
      <c r="K26" s="53">
        <f t="shared" si="5"/>
        <v>-143992000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877</v>
      </c>
      <c r="H27" s="36">
        <f t="shared" si="2"/>
        <v>1</v>
      </c>
      <c r="I27" s="11">
        <f t="shared" si="3"/>
        <v>174668268</v>
      </c>
      <c r="J27" s="53">
        <f t="shared" si="4"/>
        <v>94093788</v>
      </c>
      <c r="K27" s="53">
        <f t="shared" si="5"/>
        <v>80574480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875</v>
      </c>
      <c r="H28" s="36">
        <f t="shared" si="2"/>
        <v>0</v>
      </c>
      <c r="I28" s="11">
        <f t="shared" si="3"/>
        <v>-193375000</v>
      </c>
      <c r="J28" s="53">
        <f t="shared" si="4"/>
        <v>-193375000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875</v>
      </c>
      <c r="H29" s="36">
        <f t="shared" si="2"/>
        <v>0</v>
      </c>
      <c r="I29" s="11">
        <f t="shared" si="3"/>
        <v>-437937500</v>
      </c>
      <c r="J29" s="53">
        <f t="shared" si="4"/>
        <v>0</v>
      </c>
      <c r="K29" s="53">
        <f t="shared" si="5"/>
        <v>-437937500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875</v>
      </c>
      <c r="H30" s="36">
        <f t="shared" si="2"/>
        <v>0</v>
      </c>
      <c r="I30" s="11">
        <f t="shared" si="3"/>
        <v>-13125000000</v>
      </c>
      <c r="J30" s="53">
        <f t="shared" si="4"/>
        <v>-13125000000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858</v>
      </c>
      <c r="H31" s="36">
        <f t="shared" si="2"/>
        <v>0</v>
      </c>
      <c r="I31" s="11">
        <f t="shared" si="3"/>
        <v>-2583352200</v>
      </c>
      <c r="J31" s="53">
        <f t="shared" si="4"/>
        <v>0</v>
      </c>
      <c r="K31" s="53">
        <f t="shared" si="5"/>
        <v>-2583352200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856</v>
      </c>
      <c r="H32" s="36">
        <f t="shared" si="2"/>
        <v>0</v>
      </c>
      <c r="I32" s="11">
        <f t="shared" si="3"/>
        <v>-2573050400</v>
      </c>
      <c r="J32" s="53">
        <f t="shared" si="4"/>
        <v>0</v>
      </c>
      <c r="K32" s="53">
        <f t="shared" si="5"/>
        <v>-2573050400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855</v>
      </c>
      <c r="H33" s="36">
        <f t="shared" si="2"/>
        <v>0</v>
      </c>
      <c r="I33" s="11">
        <f t="shared" si="3"/>
        <v>-765652500</v>
      </c>
      <c r="J33" s="53">
        <f t="shared" si="4"/>
        <v>0</v>
      </c>
      <c r="K33" s="53">
        <f t="shared" si="5"/>
        <v>-765652500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855</v>
      </c>
      <c r="H34" s="36">
        <f t="shared" si="2"/>
        <v>0</v>
      </c>
      <c r="I34" s="11">
        <f t="shared" si="3"/>
        <v>0</v>
      </c>
      <c r="J34" s="53">
        <f t="shared" si="4"/>
        <v>855000000</v>
      </c>
      <c r="K34" s="53">
        <f t="shared" si="5"/>
        <v>-855000000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846</v>
      </c>
      <c r="H35" s="36">
        <f t="shared" si="2"/>
        <v>1</v>
      </c>
      <c r="I35" s="11">
        <f t="shared" si="3"/>
        <v>44338840</v>
      </c>
      <c r="J35" s="53">
        <f t="shared" si="4"/>
        <v>-18305235</v>
      </c>
      <c r="K35" s="53">
        <f t="shared" si="5"/>
        <v>62644075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846</v>
      </c>
      <c r="H36" s="36">
        <f t="shared" si="2"/>
        <v>0</v>
      </c>
      <c r="I36" s="11">
        <f t="shared" si="3"/>
        <v>0</v>
      </c>
      <c r="J36" s="53">
        <f t="shared" si="4"/>
        <v>18326898</v>
      </c>
      <c r="K36" s="53">
        <f t="shared" si="5"/>
        <v>-18326898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836</v>
      </c>
      <c r="H37" s="36">
        <f t="shared" si="2"/>
        <v>0</v>
      </c>
      <c r="I37" s="11">
        <f t="shared" si="3"/>
        <v>-45980000</v>
      </c>
      <c r="J37" s="53">
        <f t="shared" si="4"/>
        <v>0</v>
      </c>
      <c r="K37" s="53">
        <f t="shared" si="5"/>
        <v>-45980000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835</v>
      </c>
      <c r="H38" s="36">
        <f t="shared" si="2"/>
        <v>1</v>
      </c>
      <c r="I38" s="11">
        <f t="shared" si="3"/>
        <v>2502000000</v>
      </c>
      <c r="J38" s="53">
        <f t="shared" si="4"/>
        <v>2502000000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834</v>
      </c>
      <c r="H39" s="36">
        <f t="shared" si="2"/>
        <v>1</v>
      </c>
      <c r="I39" s="11">
        <f t="shared" si="3"/>
        <v>2082500000</v>
      </c>
      <c r="J39" s="53">
        <f t="shared" si="4"/>
        <v>2082500000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834</v>
      </c>
      <c r="H40" s="36">
        <f t="shared" si="2"/>
        <v>0</v>
      </c>
      <c r="I40" s="11">
        <f t="shared" si="3"/>
        <v>-41700000</v>
      </c>
      <c r="J40" s="53">
        <f t="shared" si="4"/>
        <v>0</v>
      </c>
      <c r="K40" s="53">
        <f t="shared" si="5"/>
        <v>-41700000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834</v>
      </c>
      <c r="H41" s="36">
        <f t="shared" si="2"/>
        <v>1</v>
      </c>
      <c r="I41" s="11">
        <f t="shared" si="3"/>
        <v>2499000000</v>
      </c>
      <c r="J41" s="53">
        <f t="shared" si="4"/>
        <v>0</v>
      </c>
      <c r="K41" s="53">
        <f t="shared" si="5"/>
        <v>2499000000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831</v>
      </c>
      <c r="H42" s="36">
        <f t="shared" si="2"/>
        <v>0</v>
      </c>
      <c r="I42" s="11">
        <f t="shared" si="3"/>
        <v>-74125200</v>
      </c>
      <c r="J42" s="53">
        <f t="shared" si="4"/>
        <v>0</v>
      </c>
      <c r="K42" s="53">
        <f t="shared" si="5"/>
        <v>-74125200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827</v>
      </c>
      <c r="H43" s="36">
        <f t="shared" si="2"/>
        <v>0</v>
      </c>
      <c r="I43" s="11">
        <f t="shared" si="3"/>
        <v>-165400000</v>
      </c>
      <c r="J43" s="53">
        <f t="shared" si="4"/>
        <v>0</v>
      </c>
      <c r="K43" s="53">
        <f t="shared" si="5"/>
        <v>-165400000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825</v>
      </c>
      <c r="H44" s="36">
        <f t="shared" si="2"/>
        <v>0</v>
      </c>
      <c r="I44" s="11">
        <f t="shared" si="3"/>
        <v>-165000000</v>
      </c>
      <c r="J44" s="53">
        <f t="shared" si="4"/>
        <v>0</v>
      </c>
      <c r="K44" s="53">
        <f t="shared" si="5"/>
        <v>-165000000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825</v>
      </c>
      <c r="H45" s="36">
        <f t="shared" si="2"/>
        <v>0</v>
      </c>
      <c r="I45" s="11">
        <f t="shared" si="3"/>
        <v>-462000000</v>
      </c>
      <c r="J45" s="53">
        <f t="shared" si="4"/>
        <v>0</v>
      </c>
      <c r="K45" s="53">
        <f t="shared" si="5"/>
        <v>-462000000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821</v>
      </c>
      <c r="H46" s="36">
        <f t="shared" si="2"/>
        <v>0</v>
      </c>
      <c r="I46" s="11">
        <f t="shared" si="3"/>
        <v>-579215500</v>
      </c>
      <c r="J46" s="53">
        <f t="shared" si="4"/>
        <v>0</v>
      </c>
      <c r="K46" s="53">
        <f t="shared" si="5"/>
        <v>-579215500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815</v>
      </c>
      <c r="H47" s="36">
        <f t="shared" si="2"/>
        <v>1</v>
      </c>
      <c r="I47" s="11">
        <f t="shared" si="3"/>
        <v>33540056</v>
      </c>
      <c r="J47" s="53">
        <f t="shared" si="4"/>
        <v>5464382</v>
      </c>
      <c r="K47" s="53">
        <f t="shared" si="5"/>
        <v>28075674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815</v>
      </c>
      <c r="H48" s="36">
        <f t="shared" si="2"/>
        <v>1</v>
      </c>
      <c r="I48" s="11">
        <f t="shared" si="3"/>
        <v>1387625800</v>
      </c>
      <c r="J48" s="53">
        <f t="shared" si="4"/>
        <v>0</v>
      </c>
      <c r="K48" s="53">
        <f t="shared" si="5"/>
        <v>1387625800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806</v>
      </c>
      <c r="H49" s="36">
        <f t="shared" si="2"/>
        <v>0</v>
      </c>
      <c r="I49" s="11">
        <f t="shared" si="3"/>
        <v>-124930000</v>
      </c>
      <c r="J49" s="53">
        <f t="shared" si="4"/>
        <v>0</v>
      </c>
      <c r="K49" s="53">
        <f t="shared" si="5"/>
        <v>-124930000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806</v>
      </c>
      <c r="H50" s="36">
        <f t="shared" si="2"/>
        <v>0</v>
      </c>
      <c r="I50" s="11">
        <f t="shared" si="3"/>
        <v>-111228000</v>
      </c>
      <c r="J50" s="53">
        <f t="shared" si="4"/>
        <v>0</v>
      </c>
      <c r="K50" s="53">
        <f t="shared" si="5"/>
        <v>-111228000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806</v>
      </c>
      <c r="H51" s="36">
        <f t="shared" si="2"/>
        <v>0</v>
      </c>
      <c r="I51" s="11">
        <f t="shared" si="3"/>
        <v>-596440000</v>
      </c>
      <c r="J51" s="53">
        <f t="shared" si="4"/>
        <v>0</v>
      </c>
      <c r="K51" s="53">
        <f t="shared" si="5"/>
        <v>-596440000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806</v>
      </c>
      <c r="H52" s="36">
        <f t="shared" si="2"/>
        <v>0</v>
      </c>
      <c r="I52" s="11">
        <f t="shared" si="3"/>
        <v>-161200000</v>
      </c>
      <c r="J52" s="53">
        <f t="shared" si="4"/>
        <v>0</v>
      </c>
      <c r="K52" s="53">
        <f t="shared" si="5"/>
        <v>-161200000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805</v>
      </c>
      <c r="H53" s="36">
        <f t="shared" si="2"/>
        <v>0</v>
      </c>
      <c r="I53" s="11">
        <f t="shared" si="3"/>
        <v>-849275000</v>
      </c>
      <c r="J53" s="53">
        <f t="shared" si="4"/>
        <v>0</v>
      </c>
      <c r="K53" s="53">
        <f t="shared" si="5"/>
        <v>-849275000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805</v>
      </c>
      <c r="H54" s="36">
        <f t="shared" si="2"/>
        <v>0</v>
      </c>
      <c r="I54" s="11">
        <f t="shared" si="3"/>
        <v>-161000000</v>
      </c>
      <c r="J54" s="53">
        <f t="shared" si="4"/>
        <v>0</v>
      </c>
      <c r="K54" s="53">
        <f t="shared" si="5"/>
        <v>-161000000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805</v>
      </c>
      <c r="H55" s="36">
        <f t="shared" si="2"/>
        <v>0</v>
      </c>
      <c r="I55" s="11">
        <f t="shared" si="3"/>
        <v>-805402500</v>
      </c>
      <c r="J55" s="53">
        <f t="shared" si="4"/>
        <v>0</v>
      </c>
      <c r="K55" s="53">
        <f t="shared" si="5"/>
        <v>-805402500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805</v>
      </c>
      <c r="H56" s="36">
        <f t="shared" si="2"/>
        <v>0</v>
      </c>
      <c r="I56" s="11">
        <f t="shared" si="3"/>
        <v>-30590000</v>
      </c>
      <c r="J56" s="53">
        <f t="shared" si="4"/>
        <v>0</v>
      </c>
      <c r="K56" s="53">
        <f t="shared" si="5"/>
        <v>-30590000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805</v>
      </c>
      <c r="H57" s="36">
        <f t="shared" si="2"/>
        <v>0</v>
      </c>
      <c r="I57" s="11">
        <f t="shared" si="3"/>
        <v>-84525000</v>
      </c>
      <c r="J57" s="53">
        <f t="shared" si="4"/>
        <v>0</v>
      </c>
      <c r="K57" s="53">
        <f t="shared" si="5"/>
        <v>-84525000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805</v>
      </c>
      <c r="H58" s="36">
        <f t="shared" si="2"/>
        <v>0</v>
      </c>
      <c r="I58" s="11">
        <f t="shared" si="3"/>
        <v>-48300000</v>
      </c>
      <c r="J58" s="53">
        <f t="shared" si="4"/>
        <v>0</v>
      </c>
      <c r="K58" s="53">
        <f t="shared" si="5"/>
        <v>-48300000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802</v>
      </c>
      <c r="H59" s="36">
        <f t="shared" si="2"/>
        <v>1</v>
      </c>
      <c r="I59" s="11">
        <f t="shared" si="3"/>
        <v>801000000</v>
      </c>
      <c r="J59" s="53">
        <f t="shared" si="4"/>
        <v>801000000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801</v>
      </c>
      <c r="H60" s="36">
        <f t="shared" si="2"/>
        <v>1</v>
      </c>
      <c r="I60" s="11">
        <f t="shared" si="3"/>
        <v>2800000000</v>
      </c>
      <c r="J60" s="53">
        <f t="shared" si="4"/>
        <v>2800000000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799</v>
      </c>
      <c r="H61" s="36">
        <f t="shared" si="2"/>
        <v>1</v>
      </c>
      <c r="I61" s="11">
        <f t="shared" si="3"/>
        <v>798000000</v>
      </c>
      <c r="J61" s="53">
        <f t="shared" si="4"/>
        <v>798000000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799</v>
      </c>
      <c r="H62" s="36">
        <f t="shared" si="2"/>
        <v>1</v>
      </c>
      <c r="I62" s="11">
        <f t="shared" si="3"/>
        <v>2394000000</v>
      </c>
      <c r="J62" s="53">
        <f t="shared" si="4"/>
        <v>2394000000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797</v>
      </c>
      <c r="H63" s="36">
        <f t="shared" si="2"/>
        <v>0</v>
      </c>
      <c r="I63" s="11">
        <f t="shared" si="3"/>
        <v>-159400000</v>
      </c>
      <c r="J63" s="53">
        <f t="shared" si="4"/>
        <v>0</v>
      </c>
      <c r="K63" s="53">
        <f t="shared" si="5"/>
        <v>-159400000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792</v>
      </c>
      <c r="H64" s="36">
        <f t="shared" si="2"/>
        <v>0</v>
      </c>
      <c r="I64" s="11">
        <f t="shared" si="3"/>
        <v>-39600000</v>
      </c>
      <c r="J64" s="53">
        <f t="shared" si="4"/>
        <v>0</v>
      </c>
      <c r="K64" s="53">
        <f t="shared" si="5"/>
        <v>-39600000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788</v>
      </c>
      <c r="H65" s="36">
        <f t="shared" si="2"/>
        <v>0</v>
      </c>
      <c r="I65" s="11">
        <f t="shared" si="3"/>
        <v>-157600000</v>
      </c>
      <c r="J65" s="53">
        <f t="shared" si="4"/>
        <v>0</v>
      </c>
      <c r="K65" s="53">
        <f t="shared" si="5"/>
        <v>-157600000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785</v>
      </c>
      <c r="H66" s="36">
        <f t="shared" si="2"/>
        <v>0</v>
      </c>
      <c r="I66" s="11">
        <f t="shared" si="3"/>
        <v>-133450000</v>
      </c>
      <c r="J66" s="53">
        <f t="shared" si="4"/>
        <v>0</v>
      </c>
      <c r="K66" s="53">
        <f t="shared" si="5"/>
        <v>-133450000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784</v>
      </c>
      <c r="H67" s="36">
        <f t="shared" ref="H67:H131" si="8">IF(B67&gt;0,1,0)</f>
        <v>1</v>
      </c>
      <c r="I67" s="11">
        <f t="shared" ref="I67:I119" si="9">B67*(G67-H67)</f>
        <v>71507475</v>
      </c>
      <c r="J67" s="53">
        <f t="shared" ref="J67:J131" si="10">C67*(G67-H67)</f>
        <v>51461109</v>
      </c>
      <c r="K67" s="53">
        <f t="shared" ref="K67:K131" si="11">D67*(G67-H67)</f>
        <v>20046366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766</v>
      </c>
      <c r="H68" s="36">
        <f t="shared" si="8"/>
        <v>0</v>
      </c>
      <c r="I68" s="11">
        <f t="shared" si="9"/>
        <v>-111070000</v>
      </c>
      <c r="J68" s="53">
        <f t="shared" si="10"/>
        <v>0</v>
      </c>
      <c r="K68" s="53">
        <f t="shared" si="11"/>
        <v>-111070000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759</v>
      </c>
      <c r="H69" s="36">
        <f t="shared" si="8"/>
        <v>1</v>
      </c>
      <c r="I69" s="11">
        <f t="shared" si="9"/>
        <v>742840000</v>
      </c>
      <c r="J69" s="53">
        <f t="shared" si="10"/>
        <v>0</v>
      </c>
      <c r="K69" s="53">
        <f t="shared" si="11"/>
        <v>742840000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756</v>
      </c>
      <c r="H70" s="36">
        <f t="shared" si="8"/>
        <v>0</v>
      </c>
      <c r="I70" s="11">
        <f t="shared" si="9"/>
        <v>-34776000</v>
      </c>
      <c r="J70" s="53">
        <f t="shared" si="10"/>
        <v>0</v>
      </c>
      <c r="K70" s="53">
        <f t="shared" si="11"/>
        <v>-34776000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754</v>
      </c>
      <c r="H71" s="36">
        <f t="shared" si="8"/>
        <v>1</v>
      </c>
      <c r="I71" s="11">
        <f t="shared" si="9"/>
        <v>86849514</v>
      </c>
      <c r="J71" s="53">
        <f t="shared" si="10"/>
        <v>78170436</v>
      </c>
      <c r="K71" s="53">
        <f t="shared" si="11"/>
        <v>8679078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753</v>
      </c>
      <c r="H72" s="36">
        <f t="shared" si="8"/>
        <v>0</v>
      </c>
      <c r="I72" s="11">
        <f t="shared" si="9"/>
        <v>-114432657</v>
      </c>
      <c r="J72" s="53">
        <f t="shared" si="10"/>
        <v>0</v>
      </c>
      <c r="K72" s="53">
        <f t="shared" si="11"/>
        <v>-114432657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752</v>
      </c>
      <c r="H73" s="36">
        <f t="shared" si="8"/>
        <v>0</v>
      </c>
      <c r="I73" s="11">
        <f t="shared" si="9"/>
        <v>-605736000</v>
      </c>
      <c r="J73" s="53">
        <f t="shared" si="10"/>
        <v>0</v>
      </c>
      <c r="K73" s="53">
        <f t="shared" si="11"/>
        <v>-605736000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745</v>
      </c>
      <c r="H74" s="36">
        <f t="shared" si="8"/>
        <v>1</v>
      </c>
      <c r="I74" s="11">
        <f t="shared" si="9"/>
        <v>5204280000</v>
      </c>
      <c r="J74" s="53">
        <f t="shared" si="10"/>
        <v>0</v>
      </c>
      <c r="K74" s="53">
        <f t="shared" si="11"/>
        <v>5204280000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744</v>
      </c>
      <c r="H75" s="36">
        <f t="shared" si="8"/>
        <v>1</v>
      </c>
      <c r="I75" s="11">
        <f t="shared" si="9"/>
        <v>2229000000</v>
      </c>
      <c r="J75" s="53">
        <f t="shared" si="10"/>
        <v>0</v>
      </c>
      <c r="K75" s="53">
        <f t="shared" si="11"/>
        <v>2229000000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742</v>
      </c>
      <c r="H76" s="36">
        <f t="shared" si="8"/>
        <v>1</v>
      </c>
      <c r="I76" s="11">
        <f t="shared" si="9"/>
        <v>2223000000</v>
      </c>
      <c r="J76" s="53">
        <f t="shared" si="10"/>
        <v>0</v>
      </c>
      <c r="K76" s="53">
        <f t="shared" si="11"/>
        <v>2223000000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741</v>
      </c>
      <c r="H77" s="36">
        <f t="shared" si="8"/>
        <v>1</v>
      </c>
      <c r="I77" s="11">
        <f t="shared" si="9"/>
        <v>2220000000</v>
      </c>
      <c r="J77" s="53">
        <f t="shared" si="10"/>
        <v>0</v>
      </c>
      <c r="K77" s="53">
        <f t="shared" si="11"/>
        <v>2220000000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740</v>
      </c>
      <c r="H78" s="36">
        <f t="shared" si="8"/>
        <v>0</v>
      </c>
      <c r="I78" s="11">
        <f t="shared" si="9"/>
        <v>-2368000000</v>
      </c>
      <c r="J78" s="53">
        <f t="shared" si="10"/>
        <v>-2368000000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739</v>
      </c>
      <c r="H79" s="36">
        <f t="shared" si="8"/>
        <v>0</v>
      </c>
      <c r="I79" s="11">
        <f t="shared" si="9"/>
        <v>-591200000</v>
      </c>
      <c r="J79" s="53">
        <f t="shared" si="10"/>
        <v>-591200000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738</v>
      </c>
      <c r="H80" s="36">
        <f t="shared" si="8"/>
        <v>0</v>
      </c>
      <c r="I80" s="11">
        <f t="shared" si="9"/>
        <v>-35714034</v>
      </c>
      <c r="J80" s="53">
        <f t="shared" si="10"/>
        <v>0</v>
      </c>
      <c r="K80" s="53">
        <f t="shared" si="11"/>
        <v>-35714034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737</v>
      </c>
      <c r="H81" s="36">
        <f t="shared" si="8"/>
        <v>0</v>
      </c>
      <c r="I81" s="11">
        <f t="shared" si="9"/>
        <v>-103180000</v>
      </c>
      <c r="J81" s="53">
        <f t="shared" si="10"/>
        <v>0</v>
      </c>
      <c r="K81" s="53">
        <f t="shared" si="11"/>
        <v>-103180000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736</v>
      </c>
      <c r="H82" s="36">
        <f t="shared" si="8"/>
        <v>0</v>
      </c>
      <c r="I82" s="11">
        <f t="shared" si="9"/>
        <v>-184000000</v>
      </c>
      <c r="J82" s="53">
        <f t="shared" si="10"/>
        <v>0</v>
      </c>
      <c r="K82" s="53">
        <f t="shared" si="11"/>
        <v>-184000000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735</v>
      </c>
      <c r="H83" s="36">
        <f t="shared" si="8"/>
        <v>0</v>
      </c>
      <c r="I83" s="11">
        <f t="shared" si="9"/>
        <v>-147000000</v>
      </c>
      <c r="J83" s="53">
        <f t="shared" si="10"/>
        <v>0</v>
      </c>
      <c r="K83" s="53">
        <f t="shared" si="11"/>
        <v>-147000000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732</v>
      </c>
      <c r="H84" s="36">
        <f t="shared" si="8"/>
        <v>1</v>
      </c>
      <c r="I84" s="11">
        <f t="shared" si="9"/>
        <v>1195331200</v>
      </c>
      <c r="J84" s="53">
        <f t="shared" si="10"/>
        <v>0</v>
      </c>
      <c r="K84" s="53">
        <f t="shared" si="11"/>
        <v>1195331200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728</v>
      </c>
      <c r="H85" s="36">
        <f t="shared" si="8"/>
        <v>1</v>
      </c>
      <c r="I85" s="11">
        <f t="shared" si="9"/>
        <v>1817500000</v>
      </c>
      <c r="J85" s="53">
        <f t="shared" si="10"/>
        <v>0</v>
      </c>
      <c r="K85" s="53">
        <f t="shared" si="11"/>
        <v>1817500000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724</v>
      </c>
      <c r="H86" s="36">
        <f t="shared" si="8"/>
        <v>1</v>
      </c>
      <c r="I86" s="11">
        <f t="shared" si="9"/>
        <v>134694900</v>
      </c>
      <c r="J86" s="53">
        <f t="shared" si="10"/>
        <v>61418850</v>
      </c>
      <c r="K86" s="53">
        <f t="shared" si="11"/>
        <v>73276050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721</v>
      </c>
      <c r="H87" s="36">
        <f t="shared" si="8"/>
        <v>0</v>
      </c>
      <c r="I87" s="11">
        <f t="shared" si="9"/>
        <v>-144200000</v>
      </c>
      <c r="J87" s="53">
        <f t="shared" si="10"/>
        <v>0</v>
      </c>
      <c r="K87" s="53">
        <f t="shared" si="11"/>
        <v>-144200000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720</v>
      </c>
      <c r="H88" s="36">
        <f t="shared" si="8"/>
        <v>0</v>
      </c>
      <c r="I88" s="11">
        <f t="shared" si="9"/>
        <v>-84960000</v>
      </c>
      <c r="J88" s="53">
        <f t="shared" si="10"/>
        <v>-49680000</v>
      </c>
      <c r="K88" s="53">
        <f t="shared" si="11"/>
        <v>-35280000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712</v>
      </c>
      <c r="H89" s="36">
        <f t="shared" si="8"/>
        <v>0</v>
      </c>
      <c r="I89" s="11">
        <f t="shared" si="9"/>
        <v>-2279040800</v>
      </c>
      <c r="J89" s="53">
        <f t="shared" si="10"/>
        <v>0</v>
      </c>
      <c r="K89" s="53">
        <f t="shared" si="11"/>
        <v>-2279040800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711</v>
      </c>
      <c r="H90" s="36">
        <f t="shared" si="8"/>
        <v>0</v>
      </c>
      <c r="I90" s="11">
        <f t="shared" si="9"/>
        <v>-2275839900</v>
      </c>
      <c r="J90" s="53">
        <f t="shared" si="10"/>
        <v>0</v>
      </c>
      <c r="K90" s="53">
        <f t="shared" si="11"/>
        <v>-2275839900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710</v>
      </c>
      <c r="H91" s="36">
        <f t="shared" si="8"/>
        <v>0</v>
      </c>
      <c r="I91" s="11">
        <f t="shared" si="9"/>
        <v>-2272639000</v>
      </c>
      <c r="J91" s="53">
        <f t="shared" si="10"/>
        <v>0</v>
      </c>
      <c r="K91" s="53">
        <f t="shared" si="11"/>
        <v>-2272639000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709</v>
      </c>
      <c r="H92" s="36">
        <f t="shared" si="8"/>
        <v>0</v>
      </c>
      <c r="I92" s="11">
        <f t="shared" si="9"/>
        <v>-2269438100</v>
      </c>
      <c r="J92" s="53">
        <f t="shared" si="10"/>
        <v>0</v>
      </c>
      <c r="K92" s="53">
        <f t="shared" si="11"/>
        <v>-2269438100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708</v>
      </c>
      <c r="H93" s="36">
        <f t="shared" si="8"/>
        <v>0</v>
      </c>
      <c r="I93" s="11">
        <f t="shared" si="9"/>
        <v>-2266237200</v>
      </c>
      <c r="J93" s="53">
        <f t="shared" si="10"/>
        <v>0</v>
      </c>
      <c r="K93" s="53">
        <f t="shared" si="11"/>
        <v>-2266237200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707</v>
      </c>
      <c r="H94" s="36">
        <f t="shared" si="8"/>
        <v>0</v>
      </c>
      <c r="I94" s="11">
        <f t="shared" si="9"/>
        <v>-2263036300</v>
      </c>
      <c r="J94" s="53">
        <f t="shared" si="10"/>
        <v>0</v>
      </c>
      <c r="K94" s="53">
        <f t="shared" si="11"/>
        <v>-2263036300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705</v>
      </c>
      <c r="H95" s="36">
        <f t="shared" si="8"/>
        <v>0</v>
      </c>
      <c r="I95" s="11">
        <f t="shared" si="9"/>
        <v>-843600180</v>
      </c>
      <c r="J95" s="53">
        <f t="shared" si="10"/>
        <v>0</v>
      </c>
      <c r="K95" s="53">
        <f t="shared" si="11"/>
        <v>-843600180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695</v>
      </c>
      <c r="H96" s="36">
        <f t="shared" si="8"/>
        <v>0</v>
      </c>
      <c r="I96" s="11">
        <f t="shared" si="9"/>
        <v>-139000000</v>
      </c>
      <c r="J96" s="53">
        <f t="shared" si="10"/>
        <v>0</v>
      </c>
      <c r="K96" s="53">
        <f t="shared" si="11"/>
        <v>-139000000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694</v>
      </c>
      <c r="H97" s="36">
        <f t="shared" si="8"/>
        <v>1</v>
      </c>
      <c r="I97" s="11">
        <f t="shared" si="9"/>
        <v>110573694</v>
      </c>
      <c r="J97" s="53">
        <f t="shared" si="10"/>
        <v>47765718</v>
      </c>
      <c r="K97" s="53">
        <f t="shared" si="11"/>
        <v>62807976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689</v>
      </c>
      <c r="H98" s="36">
        <f t="shared" si="8"/>
        <v>1</v>
      </c>
      <c r="I98" s="11">
        <f t="shared" si="9"/>
        <v>78685184</v>
      </c>
      <c r="J98" s="53">
        <f t="shared" si="10"/>
        <v>0</v>
      </c>
      <c r="K98" s="53">
        <f t="shared" si="11"/>
        <v>78685184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686</v>
      </c>
      <c r="H99" s="36">
        <f t="shared" si="8"/>
        <v>0</v>
      </c>
      <c r="I99" s="11">
        <f t="shared" si="9"/>
        <v>-908950000</v>
      </c>
      <c r="J99" s="53">
        <f t="shared" si="10"/>
        <v>0</v>
      </c>
      <c r="K99" s="53">
        <f t="shared" si="11"/>
        <v>-908950000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681</v>
      </c>
      <c r="H100" s="36">
        <f t="shared" si="8"/>
        <v>1</v>
      </c>
      <c r="I100" s="11">
        <f t="shared" si="9"/>
        <v>901000000</v>
      </c>
      <c r="J100" s="53">
        <f t="shared" si="10"/>
        <v>0</v>
      </c>
      <c r="K100" s="53">
        <f t="shared" si="11"/>
        <v>901000000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664</v>
      </c>
      <c r="H101" s="36">
        <f t="shared" si="8"/>
        <v>1</v>
      </c>
      <c r="I101" s="11">
        <f t="shared" si="9"/>
        <v>44318235</v>
      </c>
      <c r="J101" s="53">
        <f t="shared" si="10"/>
        <v>44318235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661</v>
      </c>
      <c r="H102" s="36">
        <f t="shared" si="8"/>
        <v>1</v>
      </c>
      <c r="I102" s="11">
        <f t="shared" si="9"/>
        <v>1980000000</v>
      </c>
      <c r="J102" s="53">
        <f t="shared" si="10"/>
        <v>0</v>
      </c>
      <c r="K102" s="53">
        <f t="shared" si="11"/>
        <v>1980000000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654</v>
      </c>
      <c r="H103" s="36">
        <f t="shared" si="8"/>
        <v>0</v>
      </c>
      <c r="I103" s="11">
        <f t="shared" si="9"/>
        <v>-654000000</v>
      </c>
      <c r="J103" s="53">
        <f t="shared" si="10"/>
        <v>-654000000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644</v>
      </c>
      <c r="H104" s="36">
        <f t="shared" si="8"/>
        <v>1</v>
      </c>
      <c r="I104" s="11">
        <f t="shared" si="9"/>
        <v>1929000000</v>
      </c>
      <c r="J104" s="53">
        <f t="shared" si="10"/>
        <v>1929000000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643</v>
      </c>
      <c r="H105" s="36">
        <f t="shared" si="8"/>
        <v>1</v>
      </c>
      <c r="I105" s="11">
        <f t="shared" si="9"/>
        <v>719040000</v>
      </c>
      <c r="J105" s="53">
        <f t="shared" si="10"/>
        <v>719040000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643</v>
      </c>
      <c r="H106" s="36">
        <f t="shared" si="8"/>
        <v>0</v>
      </c>
      <c r="I106" s="11">
        <f t="shared" si="9"/>
        <v>-1929000000</v>
      </c>
      <c r="J106" s="53">
        <f t="shared" si="10"/>
        <v>0</v>
      </c>
      <c r="K106" s="53">
        <f t="shared" si="11"/>
        <v>-1929000000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634</v>
      </c>
      <c r="H107" s="36">
        <f t="shared" si="8"/>
        <v>1</v>
      </c>
      <c r="I107" s="11">
        <f t="shared" si="9"/>
        <v>57282702</v>
      </c>
      <c r="J107" s="53">
        <f t="shared" si="10"/>
        <v>47547795</v>
      </c>
      <c r="K107" s="53">
        <f t="shared" si="11"/>
        <v>9734907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632</v>
      </c>
      <c r="H108" s="36">
        <f t="shared" si="8"/>
        <v>0</v>
      </c>
      <c r="I108" s="11">
        <f t="shared" si="9"/>
        <v>-1074842400</v>
      </c>
      <c r="J108" s="53">
        <f t="shared" si="10"/>
        <v>0</v>
      </c>
      <c r="K108" s="53">
        <f t="shared" si="11"/>
        <v>-1074842400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628</v>
      </c>
      <c r="H109" s="36">
        <f t="shared" si="8"/>
        <v>0</v>
      </c>
      <c r="I109" s="11">
        <f t="shared" si="9"/>
        <v>-628314000</v>
      </c>
      <c r="J109" s="53">
        <f t="shared" si="10"/>
        <v>0</v>
      </c>
      <c r="K109" s="53">
        <f t="shared" si="11"/>
        <v>-628314000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625</v>
      </c>
      <c r="H110" s="36">
        <f t="shared" si="8"/>
        <v>1</v>
      </c>
      <c r="I110" s="11">
        <f t="shared" si="9"/>
        <v>12480000000</v>
      </c>
      <c r="J110" s="53">
        <f t="shared" si="10"/>
        <v>0</v>
      </c>
      <c r="K110" s="53">
        <f t="shared" si="11"/>
        <v>12480000000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605</v>
      </c>
      <c r="H111" s="36">
        <f t="shared" si="8"/>
        <v>1</v>
      </c>
      <c r="I111" s="11">
        <f t="shared" si="9"/>
        <v>105505512</v>
      </c>
      <c r="J111" s="53">
        <f t="shared" si="10"/>
        <v>52767252</v>
      </c>
      <c r="K111" s="53">
        <f t="shared" si="11"/>
        <v>52738260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589</v>
      </c>
      <c r="H112" s="36">
        <f t="shared" si="8"/>
        <v>0</v>
      </c>
      <c r="I112" s="11">
        <f t="shared" si="9"/>
        <v>-16727600000</v>
      </c>
      <c r="J112" s="53">
        <f t="shared" si="10"/>
        <v>0</v>
      </c>
      <c r="K112" s="53">
        <f t="shared" si="11"/>
        <v>-16727600000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574</v>
      </c>
      <c r="H113" s="36">
        <f t="shared" si="8"/>
        <v>1</v>
      </c>
      <c r="I113" s="11">
        <f t="shared" si="9"/>
        <v>93421920</v>
      </c>
      <c r="J113" s="53">
        <f t="shared" si="10"/>
        <v>70198803</v>
      </c>
      <c r="K113" s="53">
        <f t="shared" si="11"/>
        <v>23223117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574</v>
      </c>
      <c r="H114" s="36">
        <f t="shared" si="8"/>
        <v>0</v>
      </c>
      <c r="I114" s="11">
        <f t="shared" si="9"/>
        <v>-3271800</v>
      </c>
      <c r="J114" s="53">
        <f t="shared" si="10"/>
        <v>-1435000</v>
      </c>
      <c r="K114" s="53">
        <f t="shared" si="11"/>
        <v>-1836800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561</v>
      </c>
      <c r="H115" s="36">
        <f t="shared" si="8"/>
        <v>0</v>
      </c>
      <c r="I115" s="11">
        <f t="shared" si="9"/>
        <v>0</v>
      </c>
      <c r="J115" s="53">
        <f t="shared" si="10"/>
        <v>280500000</v>
      </c>
      <c r="K115" s="53">
        <f t="shared" si="11"/>
        <v>-280500000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553</v>
      </c>
      <c r="H116" s="36">
        <f t="shared" si="8"/>
        <v>0</v>
      </c>
      <c r="I116" s="11">
        <f t="shared" si="9"/>
        <v>-88480000</v>
      </c>
      <c r="J116" s="53">
        <f t="shared" si="10"/>
        <v>0</v>
      </c>
      <c r="K116" s="53">
        <f t="shared" si="11"/>
        <v>-88480000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544</v>
      </c>
      <c r="H117" s="36">
        <f t="shared" si="8"/>
        <v>1</v>
      </c>
      <c r="I117" s="11">
        <f t="shared" si="9"/>
        <v>803640</v>
      </c>
      <c r="J117" s="53">
        <f t="shared" si="10"/>
        <v>58068963</v>
      </c>
      <c r="K117" s="53">
        <f t="shared" si="11"/>
        <v>-57265323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522</v>
      </c>
      <c r="H118" s="36">
        <f t="shared" si="8"/>
        <v>1</v>
      </c>
      <c r="I118" s="11">
        <f t="shared" si="9"/>
        <v>20527139500</v>
      </c>
      <c r="J118" s="53">
        <f t="shared" si="10"/>
        <v>0</v>
      </c>
      <c r="K118" s="53">
        <f t="shared" si="11"/>
        <v>20527139500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513</v>
      </c>
      <c r="H119" s="36">
        <f t="shared" si="8"/>
        <v>1</v>
      </c>
      <c r="I119" s="11">
        <f t="shared" si="9"/>
        <v>48906752</v>
      </c>
      <c r="J119" s="53">
        <f t="shared" si="10"/>
        <v>56347648</v>
      </c>
      <c r="K119" s="53">
        <f t="shared" si="11"/>
        <v>-7440896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509</v>
      </c>
      <c r="H120" s="11">
        <f t="shared" si="8"/>
        <v>1</v>
      </c>
      <c r="I120" s="11">
        <f t="shared" ref="I120:I266" si="13">B120*(G120-H120)</f>
        <v>1016000000</v>
      </c>
      <c r="J120" s="11">
        <f t="shared" si="10"/>
        <v>0</v>
      </c>
      <c r="K120" s="11">
        <f t="shared" si="11"/>
        <v>1016000000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483</v>
      </c>
      <c r="H121" s="11">
        <f t="shared" si="8"/>
        <v>1</v>
      </c>
      <c r="I121" s="11">
        <f t="shared" si="13"/>
        <v>1253200000</v>
      </c>
      <c r="J121" s="11">
        <f t="shared" si="10"/>
        <v>0</v>
      </c>
      <c r="K121" s="11">
        <f t="shared" si="11"/>
        <v>1253200000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482</v>
      </c>
      <c r="H122" s="11">
        <f t="shared" si="8"/>
        <v>1</v>
      </c>
      <c r="I122" s="11">
        <f t="shared" si="13"/>
        <v>184969031</v>
      </c>
      <c r="J122" s="11">
        <f t="shared" si="10"/>
        <v>53346748</v>
      </c>
      <c r="K122" s="11">
        <f t="shared" si="11"/>
        <v>131622283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481</v>
      </c>
      <c r="H123" s="11">
        <f t="shared" si="8"/>
        <v>0</v>
      </c>
      <c r="I123" s="11">
        <f t="shared" si="13"/>
        <v>0</v>
      </c>
      <c r="J123" s="11">
        <f t="shared" si="10"/>
        <v>384800000</v>
      </c>
      <c r="K123" s="11">
        <f t="shared" si="11"/>
        <v>-384800000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467</v>
      </c>
      <c r="H124" s="11">
        <f t="shared" si="8"/>
        <v>0</v>
      </c>
      <c r="I124" s="11">
        <f t="shared" si="13"/>
        <v>-1401000000</v>
      </c>
      <c r="J124" s="11">
        <f t="shared" si="10"/>
        <v>0</v>
      </c>
      <c r="K124" s="11">
        <f t="shared" si="11"/>
        <v>-1401000000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452</v>
      </c>
      <c r="H125" s="11">
        <f t="shared" si="8"/>
        <v>1</v>
      </c>
      <c r="I125" s="11">
        <f t="shared" si="13"/>
        <v>180720210</v>
      </c>
      <c r="J125" s="11">
        <f t="shared" si="10"/>
        <v>53612625</v>
      </c>
      <c r="K125" s="11">
        <f t="shared" si="11"/>
        <v>127107585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452</v>
      </c>
      <c r="H126" s="11">
        <f t="shared" si="8"/>
        <v>1</v>
      </c>
      <c r="I126" s="11">
        <f t="shared" si="13"/>
        <v>18942000000</v>
      </c>
      <c r="J126" s="11">
        <f t="shared" si="10"/>
        <v>0</v>
      </c>
      <c r="K126" s="11">
        <f t="shared" si="11"/>
        <v>18942000000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427</v>
      </c>
      <c r="H127" s="11">
        <f t="shared" si="8"/>
        <v>0</v>
      </c>
      <c r="I127" s="11">
        <f t="shared" si="13"/>
        <v>-2135000</v>
      </c>
      <c r="J127" s="11">
        <f t="shared" si="10"/>
        <v>0</v>
      </c>
      <c r="K127" s="11">
        <f t="shared" si="11"/>
        <v>-2135000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421</v>
      </c>
      <c r="H128" s="11">
        <f t="shared" si="8"/>
        <v>1</v>
      </c>
      <c r="I128" s="11">
        <f t="shared" si="13"/>
        <v>323977080</v>
      </c>
      <c r="J128" s="11">
        <f t="shared" si="10"/>
        <v>50692740</v>
      </c>
      <c r="K128" s="11">
        <f t="shared" si="11"/>
        <v>273284340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418</v>
      </c>
      <c r="H129" s="11">
        <f t="shared" si="8"/>
        <v>1</v>
      </c>
      <c r="I129" s="11">
        <f t="shared" si="13"/>
        <v>1042500000</v>
      </c>
      <c r="J129" s="11">
        <f t="shared" si="10"/>
        <v>0</v>
      </c>
      <c r="K129" s="11">
        <f t="shared" si="11"/>
        <v>1042500000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404</v>
      </c>
      <c r="H130" s="11">
        <f t="shared" si="8"/>
        <v>0</v>
      </c>
      <c r="I130" s="11">
        <f t="shared" si="13"/>
        <v>-404000000</v>
      </c>
      <c r="J130" s="11">
        <f t="shared" si="10"/>
        <v>-404000000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399</v>
      </c>
      <c r="H131" s="11">
        <f t="shared" si="8"/>
        <v>0</v>
      </c>
      <c r="I131" s="11">
        <f t="shared" si="13"/>
        <v>-19950000000</v>
      </c>
      <c r="J131" s="11">
        <f t="shared" si="10"/>
        <v>0</v>
      </c>
      <c r="K131" s="11">
        <f t="shared" si="11"/>
        <v>-19950000000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391</v>
      </c>
      <c r="H132" s="11">
        <f t="shared" ref="H132:H266" si="15">IF(B132&gt;0,1,0)</f>
        <v>1</v>
      </c>
      <c r="I132" s="11">
        <f t="shared" si="13"/>
        <v>239571930</v>
      </c>
      <c r="J132" s="11">
        <f t="shared" ref="J132:J206" si="16">C132*(G132-H132)</f>
        <v>41328690</v>
      </c>
      <c r="K132" s="11">
        <f t="shared" ref="K132:K266" si="17">D132*(G132-H132)</f>
        <v>198243240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387</v>
      </c>
      <c r="H133" s="11">
        <f t="shared" si="15"/>
        <v>0</v>
      </c>
      <c r="I133" s="11">
        <f t="shared" si="13"/>
        <v>-468540900</v>
      </c>
      <c r="J133" s="11">
        <f t="shared" si="16"/>
        <v>0</v>
      </c>
      <c r="K133" s="11">
        <f t="shared" si="17"/>
        <v>-468540900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378</v>
      </c>
      <c r="H134" s="11">
        <f t="shared" si="15"/>
        <v>0</v>
      </c>
      <c r="I134" s="11">
        <f t="shared" si="13"/>
        <v>-24570000</v>
      </c>
      <c r="J134" s="11">
        <f t="shared" si="16"/>
        <v>0</v>
      </c>
      <c r="K134" s="11">
        <f t="shared" si="17"/>
        <v>-24570000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378</v>
      </c>
      <c r="H135" s="11">
        <f t="shared" si="15"/>
        <v>0</v>
      </c>
      <c r="I135" s="11">
        <f t="shared" si="13"/>
        <v>-12209400</v>
      </c>
      <c r="J135" s="11">
        <f t="shared" si="16"/>
        <v>0</v>
      </c>
      <c r="K135" s="11">
        <f t="shared" si="17"/>
        <v>-12209400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370</v>
      </c>
      <c r="H136" s="11">
        <f t="shared" si="15"/>
        <v>0</v>
      </c>
      <c r="I136" s="11">
        <f t="shared" si="13"/>
        <v>-370000000</v>
      </c>
      <c r="J136" s="11">
        <f t="shared" si="16"/>
        <v>-370000000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361</v>
      </c>
      <c r="H137" s="11">
        <f t="shared" si="15"/>
        <v>1</v>
      </c>
      <c r="I137" s="11">
        <f t="shared" si="13"/>
        <v>104714280</v>
      </c>
      <c r="J137" s="11">
        <f t="shared" si="16"/>
        <v>35049240</v>
      </c>
      <c r="K137" s="11">
        <f t="shared" si="17"/>
        <v>69665040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344</v>
      </c>
      <c r="H138" s="11">
        <f t="shared" si="15"/>
        <v>0</v>
      </c>
      <c r="I138" s="11">
        <f t="shared" si="13"/>
        <v>-344172000</v>
      </c>
      <c r="J138" s="11">
        <f t="shared" si="16"/>
        <v>-344172000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332</v>
      </c>
      <c r="H139" s="11">
        <f t="shared" si="15"/>
        <v>1</v>
      </c>
      <c r="I139" s="11">
        <f t="shared" si="13"/>
        <v>93421440</v>
      </c>
      <c r="J139" s="11">
        <f t="shared" si="16"/>
        <v>29395117</v>
      </c>
      <c r="K139" s="11">
        <f t="shared" si="17"/>
        <v>64026323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329</v>
      </c>
      <c r="H140" s="11">
        <f t="shared" si="15"/>
        <v>1</v>
      </c>
      <c r="I140" s="11">
        <f t="shared" si="13"/>
        <v>492000000</v>
      </c>
      <c r="J140" s="11">
        <f t="shared" si="16"/>
        <v>0</v>
      </c>
      <c r="K140" s="11">
        <f t="shared" si="17"/>
        <v>492000000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316</v>
      </c>
      <c r="H141" s="11">
        <f t="shared" si="15"/>
        <v>0</v>
      </c>
      <c r="I141" s="11">
        <f t="shared" si="13"/>
        <v>0</v>
      </c>
      <c r="J141" s="11">
        <f t="shared" si="16"/>
        <v>-316000000</v>
      </c>
      <c r="K141" s="11">
        <f t="shared" si="17"/>
        <v>316000000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302</v>
      </c>
      <c r="H142" s="11">
        <f t="shared" si="15"/>
        <v>1</v>
      </c>
      <c r="I142" s="11">
        <f t="shared" si="13"/>
        <v>87558793</v>
      </c>
      <c r="J142" s="11">
        <f t="shared" si="16"/>
        <v>24387622</v>
      </c>
      <c r="K142" s="11">
        <f t="shared" si="17"/>
        <v>63171171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282</v>
      </c>
      <c r="H143" s="11">
        <f t="shared" si="15"/>
        <v>0</v>
      </c>
      <c r="I143" s="11">
        <f t="shared" si="13"/>
        <v>0</v>
      </c>
      <c r="J143" s="11">
        <f t="shared" si="16"/>
        <v>-282000000</v>
      </c>
      <c r="K143" s="11">
        <f t="shared" si="17"/>
        <v>282000000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272</v>
      </c>
      <c r="H144" s="11">
        <f t="shared" si="15"/>
        <v>1</v>
      </c>
      <c r="I144" s="11">
        <f t="shared" si="13"/>
        <v>79904892</v>
      </c>
      <c r="J144" s="11">
        <f t="shared" si="16"/>
        <v>20232047</v>
      </c>
      <c r="K144" s="11">
        <f t="shared" si="17"/>
        <v>59672845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257</v>
      </c>
      <c r="H145" s="11">
        <f t="shared" si="15"/>
        <v>0</v>
      </c>
      <c r="I145" s="11">
        <f t="shared" si="13"/>
        <v>-2570000</v>
      </c>
      <c r="J145" s="11">
        <f t="shared" si="16"/>
        <v>-1285000</v>
      </c>
      <c r="K145" s="11">
        <f t="shared" si="17"/>
        <v>-1285000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252</v>
      </c>
      <c r="H146" s="11">
        <f t="shared" si="15"/>
        <v>0</v>
      </c>
      <c r="I146" s="11">
        <f t="shared" si="13"/>
        <v>-252126000</v>
      </c>
      <c r="J146" s="11">
        <f t="shared" si="16"/>
        <v>-252126000</v>
      </c>
      <c r="K146" s="11">
        <f t="shared" si="17"/>
        <v>0</v>
      </c>
    </row>
    <row r="147" spans="1:11">
      <c r="A147" s="11" t="s">
        <v>935</v>
      </c>
      <c r="B147" s="18">
        <v>-27000000</v>
      </c>
      <c r="C147" s="18">
        <v>0</v>
      </c>
      <c r="D147" s="18">
        <f t="shared" si="12"/>
        <v>-27000000</v>
      </c>
      <c r="E147" s="11" t="s">
        <v>1010</v>
      </c>
      <c r="F147" s="11">
        <v>3</v>
      </c>
      <c r="G147" s="36">
        <f t="shared" si="14"/>
        <v>246</v>
      </c>
      <c r="H147" s="11">
        <f t="shared" si="15"/>
        <v>0</v>
      </c>
      <c r="I147" s="11">
        <f t="shared" si="13"/>
        <v>-6642000000</v>
      </c>
      <c r="J147" s="11">
        <f t="shared" si="16"/>
        <v>0</v>
      </c>
      <c r="K147" s="11">
        <f t="shared" si="17"/>
        <v>-6642000000</v>
      </c>
    </row>
    <row r="148" spans="1:11">
      <c r="A148" s="11" t="s">
        <v>1035</v>
      </c>
      <c r="B148" s="18">
        <v>252436</v>
      </c>
      <c r="C148" s="18">
        <v>65510</v>
      </c>
      <c r="D148" s="18">
        <f t="shared" si="12"/>
        <v>186926</v>
      </c>
      <c r="E148" s="11" t="s">
        <v>1037</v>
      </c>
      <c r="F148" s="11">
        <v>8</v>
      </c>
      <c r="G148" s="36">
        <f t="shared" si="14"/>
        <v>243</v>
      </c>
      <c r="H148" s="11">
        <f t="shared" si="15"/>
        <v>1</v>
      </c>
      <c r="I148" s="11">
        <f t="shared" si="13"/>
        <v>61089512</v>
      </c>
      <c r="J148" s="11">
        <f t="shared" si="16"/>
        <v>15853420</v>
      </c>
      <c r="K148" s="11">
        <f t="shared" si="17"/>
        <v>45236092</v>
      </c>
    </row>
    <row r="149" spans="1:11">
      <c r="A149" s="11" t="s">
        <v>1074</v>
      </c>
      <c r="B149" s="18">
        <v>52400000</v>
      </c>
      <c r="C149" s="18">
        <v>0</v>
      </c>
      <c r="D149" s="18">
        <f t="shared" ref="D149:D266" si="18">B149-C149</f>
        <v>52400000</v>
      </c>
      <c r="E149" s="11" t="s">
        <v>1075</v>
      </c>
      <c r="F149" s="11">
        <v>7</v>
      </c>
      <c r="G149" s="36">
        <f t="shared" si="14"/>
        <v>235</v>
      </c>
      <c r="H149" s="11">
        <f t="shared" si="15"/>
        <v>1</v>
      </c>
      <c r="I149" s="11">
        <f t="shared" si="13"/>
        <v>12261600000</v>
      </c>
      <c r="J149" s="11">
        <f t="shared" si="16"/>
        <v>0</v>
      </c>
      <c r="K149" s="11">
        <f t="shared" si="17"/>
        <v>12261600000</v>
      </c>
    </row>
    <row r="150" spans="1:11">
      <c r="A150" s="11" t="s">
        <v>1079</v>
      </c>
      <c r="B150" s="18">
        <v>-52000000</v>
      </c>
      <c r="C150" s="18">
        <v>0</v>
      </c>
      <c r="D150" s="18">
        <f t="shared" si="18"/>
        <v>-52000000</v>
      </c>
      <c r="E150" s="11" t="s">
        <v>1081</v>
      </c>
      <c r="F150" s="11">
        <v>5</v>
      </c>
      <c r="G150" s="36">
        <f t="shared" si="14"/>
        <v>228</v>
      </c>
      <c r="H150" s="11">
        <f t="shared" si="15"/>
        <v>0</v>
      </c>
      <c r="I150" s="11">
        <f t="shared" si="13"/>
        <v>-11856000000</v>
      </c>
      <c r="J150" s="11">
        <f t="shared" si="16"/>
        <v>0</v>
      </c>
      <c r="K150" s="11">
        <f t="shared" si="17"/>
        <v>-11856000000</v>
      </c>
    </row>
    <row r="151" spans="1:11">
      <c r="A151" s="11" t="s">
        <v>1121</v>
      </c>
      <c r="B151" s="18">
        <v>-8000000</v>
      </c>
      <c r="C151" s="18">
        <v>-6772131</v>
      </c>
      <c r="D151" s="18">
        <f t="shared" si="18"/>
        <v>-1227869</v>
      </c>
      <c r="E151" s="11" t="s">
        <v>1110</v>
      </c>
      <c r="F151" s="11">
        <v>0</v>
      </c>
      <c r="G151" s="36">
        <f t="shared" si="14"/>
        <v>223</v>
      </c>
      <c r="H151" s="99">
        <f t="shared" si="15"/>
        <v>0</v>
      </c>
      <c r="I151" s="99">
        <f t="shared" si="13"/>
        <v>-1784000000</v>
      </c>
      <c r="J151" s="99">
        <f t="shared" si="16"/>
        <v>-1510185213</v>
      </c>
      <c r="K151" s="11">
        <f t="shared" si="17"/>
        <v>-273814787</v>
      </c>
    </row>
    <row r="152" spans="1:11">
      <c r="A152" s="11" t="s">
        <v>1121</v>
      </c>
      <c r="B152" s="18">
        <v>-31230</v>
      </c>
      <c r="C152" s="18">
        <v>0</v>
      </c>
      <c r="D152" s="18">
        <f t="shared" si="18"/>
        <v>-31230</v>
      </c>
      <c r="E152" s="11" t="s">
        <v>1122</v>
      </c>
      <c r="F152" s="11">
        <v>11</v>
      </c>
      <c r="G152" s="36">
        <f t="shared" si="14"/>
        <v>223</v>
      </c>
      <c r="H152" s="99">
        <f t="shared" si="15"/>
        <v>0</v>
      </c>
      <c r="I152" s="99">
        <f t="shared" si="13"/>
        <v>-6964290</v>
      </c>
      <c r="J152" s="99">
        <f t="shared" si="16"/>
        <v>0</v>
      </c>
      <c r="K152" s="99">
        <f t="shared" si="17"/>
        <v>-6964290</v>
      </c>
    </row>
    <row r="153" spans="1:11">
      <c r="A153" s="99" t="s">
        <v>1148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212</v>
      </c>
      <c r="H153" s="99">
        <f t="shared" si="15"/>
        <v>1</v>
      </c>
      <c r="I153" s="99">
        <f t="shared" si="13"/>
        <v>28503357</v>
      </c>
      <c r="J153" s="99">
        <f t="shared" si="16"/>
        <v>8678430</v>
      </c>
      <c r="K153" s="99">
        <f t="shared" si="17"/>
        <v>19824927</v>
      </c>
    </row>
    <row r="154" spans="1:11">
      <c r="A154" s="99" t="s">
        <v>1159</v>
      </c>
      <c r="B154" s="18">
        <v>6824082</v>
      </c>
      <c r="C154" s="18">
        <v>6824082</v>
      </c>
      <c r="D154" s="18">
        <f t="shared" si="18"/>
        <v>0</v>
      </c>
      <c r="E154" s="99" t="s">
        <v>1160</v>
      </c>
      <c r="F154" s="99">
        <v>5</v>
      </c>
      <c r="G154" s="36">
        <f t="shared" si="14"/>
        <v>209</v>
      </c>
      <c r="H154" s="99">
        <f t="shared" si="15"/>
        <v>1</v>
      </c>
      <c r="I154" s="99">
        <f t="shared" si="13"/>
        <v>1419409056</v>
      </c>
      <c r="J154" s="99">
        <f t="shared" si="16"/>
        <v>1419409056</v>
      </c>
      <c r="K154" s="99">
        <f t="shared" si="17"/>
        <v>0</v>
      </c>
    </row>
    <row r="155" spans="1:11">
      <c r="A155" s="99" t="s">
        <v>1178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204</v>
      </c>
      <c r="H155" s="99">
        <f t="shared" si="15"/>
        <v>0</v>
      </c>
      <c r="I155" s="99">
        <f t="shared" si="13"/>
        <v>-40800000</v>
      </c>
      <c r="J155" s="99">
        <f t="shared" si="16"/>
        <v>0</v>
      </c>
      <c r="K155" s="99">
        <f t="shared" si="17"/>
        <v>-40800000</v>
      </c>
    </row>
    <row r="156" spans="1:11">
      <c r="A156" s="99" t="s">
        <v>1178</v>
      </c>
      <c r="B156" s="18">
        <v>-247840</v>
      </c>
      <c r="C156" s="18">
        <v>0</v>
      </c>
      <c r="D156" s="18">
        <f t="shared" si="18"/>
        <v>-247840</v>
      </c>
      <c r="E156" s="99" t="s">
        <v>1180</v>
      </c>
      <c r="F156" s="99">
        <v>1</v>
      </c>
      <c r="G156" s="36">
        <f t="shared" si="14"/>
        <v>204</v>
      </c>
      <c r="H156" s="99">
        <f t="shared" si="15"/>
        <v>0</v>
      </c>
      <c r="I156" s="99">
        <f t="shared" si="13"/>
        <v>-50559360</v>
      </c>
      <c r="J156" s="99">
        <f t="shared" si="16"/>
        <v>0</v>
      </c>
      <c r="K156" s="99">
        <f t="shared" si="17"/>
        <v>-50559360</v>
      </c>
    </row>
    <row r="157" spans="1:11">
      <c r="A157" s="99" t="s">
        <v>1184</v>
      </c>
      <c r="B157" s="18">
        <v>-162340</v>
      </c>
      <c r="C157" s="18">
        <v>0</v>
      </c>
      <c r="D157" s="18">
        <f t="shared" si="18"/>
        <v>-162340</v>
      </c>
      <c r="E157" s="99" t="s">
        <v>1185</v>
      </c>
      <c r="F157" s="99">
        <v>0</v>
      </c>
      <c r="G157" s="36">
        <f t="shared" si="14"/>
        <v>203</v>
      </c>
      <c r="H157" s="99">
        <f t="shared" si="15"/>
        <v>0</v>
      </c>
      <c r="I157" s="99">
        <f t="shared" si="13"/>
        <v>-32955020</v>
      </c>
      <c r="J157" s="99">
        <f t="shared" si="16"/>
        <v>0</v>
      </c>
      <c r="K157" s="99">
        <f t="shared" si="17"/>
        <v>-32955020</v>
      </c>
    </row>
    <row r="158" spans="1:11">
      <c r="A158" s="99" t="s">
        <v>1184</v>
      </c>
      <c r="B158" s="18">
        <v>-3000900</v>
      </c>
      <c r="C158" s="18">
        <v>0</v>
      </c>
      <c r="D158" s="18">
        <f t="shared" si="18"/>
        <v>-3000900</v>
      </c>
      <c r="E158" s="99" t="s">
        <v>1186</v>
      </c>
      <c r="F158" s="99">
        <v>2</v>
      </c>
      <c r="G158" s="36">
        <f t="shared" si="14"/>
        <v>203</v>
      </c>
      <c r="H158" s="99">
        <f t="shared" si="15"/>
        <v>0</v>
      </c>
      <c r="I158" s="99">
        <f t="shared" si="13"/>
        <v>-609182700</v>
      </c>
      <c r="J158" s="99">
        <f t="shared" si="16"/>
        <v>0</v>
      </c>
      <c r="K158" s="99">
        <f t="shared" si="17"/>
        <v>-609182700</v>
      </c>
    </row>
    <row r="159" spans="1:11">
      <c r="A159" s="99" t="s">
        <v>1200</v>
      </c>
      <c r="B159" s="18">
        <v>-1000500</v>
      </c>
      <c r="C159" s="18">
        <v>0</v>
      </c>
      <c r="D159" s="18">
        <f t="shared" si="18"/>
        <v>-1000500</v>
      </c>
      <c r="E159" s="99" t="s">
        <v>1201</v>
      </c>
      <c r="F159" s="99">
        <v>4</v>
      </c>
      <c r="G159" s="36">
        <f t="shared" si="14"/>
        <v>201</v>
      </c>
      <c r="H159" s="99">
        <f t="shared" si="15"/>
        <v>0</v>
      </c>
      <c r="I159" s="99">
        <f t="shared" si="13"/>
        <v>-201100500</v>
      </c>
      <c r="J159" s="99">
        <f t="shared" si="16"/>
        <v>0</v>
      </c>
      <c r="K159" s="99">
        <f t="shared" si="17"/>
        <v>-201100500</v>
      </c>
    </row>
    <row r="160" spans="1:11">
      <c r="A160" s="99" t="s">
        <v>1212</v>
      </c>
      <c r="B160" s="18">
        <v>-100000</v>
      </c>
      <c r="C160" s="18">
        <v>0</v>
      </c>
      <c r="D160" s="18">
        <f t="shared" si="18"/>
        <v>-100000</v>
      </c>
      <c r="E160" s="99" t="s">
        <v>1213</v>
      </c>
      <c r="F160" s="99">
        <v>1</v>
      </c>
      <c r="G160" s="36">
        <f t="shared" si="14"/>
        <v>197</v>
      </c>
      <c r="H160" s="99">
        <f t="shared" si="15"/>
        <v>0</v>
      </c>
      <c r="I160" s="99">
        <f t="shared" si="13"/>
        <v>-19700000</v>
      </c>
      <c r="J160" s="99">
        <f t="shared" si="16"/>
        <v>0</v>
      </c>
      <c r="K160" s="99">
        <f t="shared" si="17"/>
        <v>-19700000</v>
      </c>
    </row>
    <row r="161" spans="1:13">
      <c r="A161" s="99" t="s">
        <v>1216</v>
      </c>
      <c r="B161" s="18">
        <v>-2000000</v>
      </c>
      <c r="C161" s="18">
        <v>0</v>
      </c>
      <c r="D161" s="18">
        <f t="shared" si="18"/>
        <v>-2000000</v>
      </c>
      <c r="E161" s="99" t="s">
        <v>1110</v>
      </c>
      <c r="F161" s="99">
        <v>0</v>
      </c>
      <c r="G161" s="36">
        <f t="shared" si="14"/>
        <v>196</v>
      </c>
      <c r="H161" s="99">
        <f t="shared" si="15"/>
        <v>0</v>
      </c>
      <c r="I161" s="99">
        <f t="shared" si="13"/>
        <v>-392000000</v>
      </c>
      <c r="J161" s="99">
        <f t="shared" si="16"/>
        <v>0</v>
      </c>
      <c r="K161" s="99">
        <f t="shared" si="17"/>
        <v>-392000000</v>
      </c>
    </row>
    <row r="162" spans="1:13">
      <c r="A162" s="99" t="s">
        <v>1216</v>
      </c>
      <c r="B162" s="18">
        <v>-1000500</v>
      </c>
      <c r="C162" s="18">
        <v>0</v>
      </c>
      <c r="D162" s="18">
        <f t="shared" si="18"/>
        <v>-1000500</v>
      </c>
      <c r="E162" s="99" t="s">
        <v>1223</v>
      </c>
      <c r="F162" s="99">
        <v>3</v>
      </c>
      <c r="G162" s="36">
        <f t="shared" si="14"/>
        <v>196</v>
      </c>
      <c r="H162" s="99">
        <f t="shared" si="15"/>
        <v>0</v>
      </c>
      <c r="I162" s="99">
        <f t="shared" si="13"/>
        <v>-196098000</v>
      </c>
      <c r="J162" s="99">
        <f t="shared" si="16"/>
        <v>0</v>
      </c>
      <c r="K162" s="99">
        <f t="shared" si="17"/>
        <v>-196098000</v>
      </c>
    </row>
    <row r="163" spans="1:13">
      <c r="A163" s="99" t="s">
        <v>1226</v>
      </c>
      <c r="B163" s="18">
        <v>-5000</v>
      </c>
      <c r="C163" s="18">
        <v>0</v>
      </c>
      <c r="D163" s="18">
        <f t="shared" si="18"/>
        <v>-5000</v>
      </c>
      <c r="E163" s="99" t="s">
        <v>1213</v>
      </c>
      <c r="F163" s="99">
        <v>10</v>
      </c>
      <c r="G163" s="36">
        <f t="shared" si="14"/>
        <v>193</v>
      </c>
      <c r="H163" s="99">
        <f t="shared" si="15"/>
        <v>0</v>
      </c>
      <c r="I163" s="99">
        <f t="shared" si="13"/>
        <v>-965000</v>
      </c>
      <c r="J163" s="99">
        <f t="shared" si="16"/>
        <v>0</v>
      </c>
      <c r="K163" s="99">
        <f t="shared" si="17"/>
        <v>-965000</v>
      </c>
    </row>
    <row r="164" spans="1:13">
      <c r="A164" s="99" t="s">
        <v>3669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183</v>
      </c>
      <c r="H164" s="99">
        <f t="shared" si="15"/>
        <v>1</v>
      </c>
      <c r="I164" s="99">
        <f t="shared" si="13"/>
        <v>546000000</v>
      </c>
      <c r="J164" s="99">
        <f t="shared" si="16"/>
        <v>0</v>
      </c>
      <c r="K164" s="99">
        <f t="shared" si="17"/>
        <v>546000000</v>
      </c>
    </row>
    <row r="165" spans="1:13">
      <c r="A165" s="99" t="s">
        <v>3673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182</v>
      </c>
      <c r="H165" s="99">
        <f t="shared" si="15"/>
        <v>1</v>
      </c>
      <c r="I165" s="99">
        <f t="shared" si="13"/>
        <v>543000000</v>
      </c>
      <c r="J165" s="99">
        <f t="shared" si="16"/>
        <v>0</v>
      </c>
      <c r="K165" s="99">
        <f t="shared" si="17"/>
        <v>543000000</v>
      </c>
    </row>
    <row r="166" spans="1:13">
      <c r="A166" s="99" t="s">
        <v>3675</v>
      </c>
      <c r="B166" s="18">
        <v>20314</v>
      </c>
      <c r="C166" s="18">
        <v>59842</v>
      </c>
      <c r="D166" s="18">
        <f t="shared" si="18"/>
        <v>-39528</v>
      </c>
      <c r="E166" s="99" t="s">
        <v>3678</v>
      </c>
      <c r="F166" s="99">
        <v>5</v>
      </c>
      <c r="G166" s="36">
        <f t="shared" si="14"/>
        <v>181</v>
      </c>
      <c r="H166" s="99">
        <f t="shared" si="15"/>
        <v>1</v>
      </c>
      <c r="I166" s="99">
        <f t="shared" si="13"/>
        <v>3656520</v>
      </c>
      <c r="J166" s="99">
        <f t="shared" si="16"/>
        <v>10771560</v>
      </c>
      <c r="K166" s="99">
        <f t="shared" si="17"/>
        <v>-7115040</v>
      </c>
    </row>
    <row r="167" spans="1:13">
      <c r="A167" s="99" t="s">
        <v>3698</v>
      </c>
      <c r="B167" s="18">
        <v>-3000900</v>
      </c>
      <c r="C167" s="18">
        <v>0</v>
      </c>
      <c r="D167" s="18">
        <f t="shared" si="18"/>
        <v>-3000900</v>
      </c>
      <c r="E167" s="99" t="s">
        <v>3699</v>
      </c>
      <c r="F167" s="99">
        <v>18</v>
      </c>
      <c r="G167" s="36">
        <f t="shared" si="14"/>
        <v>176</v>
      </c>
      <c r="H167" s="99">
        <f t="shared" si="15"/>
        <v>0</v>
      </c>
      <c r="I167" s="99">
        <f t="shared" si="13"/>
        <v>-528158400</v>
      </c>
      <c r="J167" s="99">
        <f t="shared" si="16"/>
        <v>0</v>
      </c>
      <c r="K167" s="99">
        <f t="shared" si="17"/>
        <v>-528158400</v>
      </c>
    </row>
    <row r="168" spans="1:13">
      <c r="A168" s="99" t="s">
        <v>3775</v>
      </c>
      <c r="B168" s="18">
        <v>-3000900</v>
      </c>
      <c r="C168" s="18">
        <v>0</v>
      </c>
      <c r="D168" s="18">
        <f t="shared" si="18"/>
        <v>-3000900</v>
      </c>
      <c r="E168" s="99" t="s">
        <v>3776</v>
      </c>
      <c r="F168" s="99">
        <v>8</v>
      </c>
      <c r="G168" s="36">
        <f t="shared" si="14"/>
        <v>158</v>
      </c>
      <c r="H168" s="99">
        <f t="shared" si="15"/>
        <v>0</v>
      </c>
      <c r="I168" s="99">
        <f t="shared" si="13"/>
        <v>-474142200</v>
      </c>
      <c r="J168" s="99">
        <f t="shared" si="16"/>
        <v>0</v>
      </c>
      <c r="K168" s="99">
        <f t="shared" si="17"/>
        <v>-474142200</v>
      </c>
      <c r="M168" t="s">
        <v>25</v>
      </c>
    </row>
    <row r="169" spans="1:13">
      <c r="A169" s="99" t="s">
        <v>3807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150</v>
      </c>
      <c r="H169" s="99">
        <f t="shared" si="15"/>
        <v>1</v>
      </c>
      <c r="I169" s="99">
        <f t="shared" si="13"/>
        <v>3234045</v>
      </c>
      <c r="J169" s="99">
        <f t="shared" si="16"/>
        <v>10208735</v>
      </c>
      <c r="K169" s="99">
        <f t="shared" si="17"/>
        <v>-6974690</v>
      </c>
    </row>
    <row r="170" spans="1:13">
      <c r="A170" s="99" t="s">
        <v>3930</v>
      </c>
      <c r="B170" s="18">
        <v>5000000</v>
      </c>
      <c r="C170" s="18">
        <v>0</v>
      </c>
      <c r="D170" s="18">
        <f t="shared" si="18"/>
        <v>5000000</v>
      </c>
      <c r="E170" s="99" t="s">
        <v>3895</v>
      </c>
      <c r="F170" s="99">
        <v>1</v>
      </c>
      <c r="G170" s="36">
        <f t="shared" si="14"/>
        <v>126</v>
      </c>
      <c r="H170" s="99">
        <f t="shared" si="15"/>
        <v>1</v>
      </c>
      <c r="I170" s="99">
        <f t="shared" si="13"/>
        <v>625000000</v>
      </c>
      <c r="J170" s="99">
        <f t="shared" si="16"/>
        <v>0</v>
      </c>
      <c r="K170" s="99">
        <f t="shared" si="17"/>
        <v>625000000</v>
      </c>
    </row>
    <row r="171" spans="1:13">
      <c r="A171" s="99" t="s">
        <v>3935</v>
      </c>
      <c r="B171" s="18">
        <v>-5000000</v>
      </c>
      <c r="C171" s="18">
        <v>0</v>
      </c>
      <c r="D171" s="18">
        <f t="shared" si="18"/>
        <v>-5000000</v>
      </c>
      <c r="E171" s="99" t="s">
        <v>3936</v>
      </c>
      <c r="F171" s="99">
        <v>6</v>
      </c>
      <c r="G171" s="36">
        <f t="shared" si="14"/>
        <v>125</v>
      </c>
      <c r="H171" s="99">
        <f t="shared" si="15"/>
        <v>0</v>
      </c>
      <c r="I171" s="99">
        <f t="shared" si="13"/>
        <v>-625000000</v>
      </c>
      <c r="J171" s="99">
        <f t="shared" si="16"/>
        <v>0</v>
      </c>
      <c r="K171" s="99">
        <f t="shared" si="17"/>
        <v>-625000000</v>
      </c>
    </row>
    <row r="172" spans="1:13">
      <c r="A172" s="99" t="s">
        <v>3959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119</v>
      </c>
      <c r="H172" s="99">
        <f t="shared" si="15"/>
        <v>1</v>
      </c>
      <c r="I172" s="99">
        <f t="shared" si="13"/>
        <v>58528</v>
      </c>
      <c r="J172" s="99">
        <f t="shared" si="16"/>
        <v>7396358</v>
      </c>
      <c r="K172" s="99">
        <f t="shared" si="17"/>
        <v>-7337830</v>
      </c>
    </row>
    <row r="173" spans="1:13">
      <c r="A173" s="99" t="s">
        <v>3984</v>
      </c>
      <c r="B173" s="18">
        <v>785000</v>
      </c>
      <c r="C173" s="18">
        <v>0</v>
      </c>
      <c r="D173" s="18">
        <f t="shared" si="18"/>
        <v>785000</v>
      </c>
      <c r="E173" s="99" t="s">
        <v>3985</v>
      </c>
      <c r="F173" s="99">
        <v>11</v>
      </c>
      <c r="G173" s="36">
        <f t="shared" si="14"/>
        <v>118</v>
      </c>
      <c r="H173" s="99">
        <f t="shared" si="15"/>
        <v>1</v>
      </c>
      <c r="I173" s="99">
        <f t="shared" si="13"/>
        <v>91845000</v>
      </c>
      <c r="J173" s="99">
        <f t="shared" si="16"/>
        <v>0</v>
      </c>
      <c r="K173" s="99">
        <f t="shared" si="17"/>
        <v>91845000</v>
      </c>
    </row>
    <row r="174" spans="1:13">
      <c r="A174" s="11" t="s">
        <v>3984</v>
      </c>
      <c r="B174" s="18">
        <v>-32000</v>
      </c>
      <c r="C174" s="18">
        <v>0</v>
      </c>
      <c r="D174" s="18">
        <f t="shared" si="18"/>
        <v>-32000</v>
      </c>
      <c r="E174" s="11" t="s">
        <v>3967</v>
      </c>
      <c r="F174" s="11">
        <v>2</v>
      </c>
      <c r="G174" s="36">
        <f t="shared" si="14"/>
        <v>107</v>
      </c>
      <c r="H174" s="99">
        <f t="shared" si="15"/>
        <v>0</v>
      </c>
      <c r="I174" s="99">
        <f t="shared" si="13"/>
        <v>-3424000</v>
      </c>
      <c r="J174" s="99">
        <f t="shared" si="16"/>
        <v>0</v>
      </c>
      <c r="K174" s="99">
        <f t="shared" si="17"/>
        <v>-3424000</v>
      </c>
    </row>
    <row r="175" spans="1:13">
      <c r="A175" s="99" t="s">
        <v>3986</v>
      </c>
      <c r="B175" s="18">
        <v>-750000</v>
      </c>
      <c r="C175" s="18">
        <v>0</v>
      </c>
      <c r="D175" s="18">
        <f t="shared" si="18"/>
        <v>-750000</v>
      </c>
      <c r="E175" s="99" t="s">
        <v>3773</v>
      </c>
      <c r="F175" s="99">
        <v>9</v>
      </c>
      <c r="G175" s="36">
        <f t="shared" si="14"/>
        <v>105</v>
      </c>
      <c r="H175" s="99">
        <f t="shared" si="15"/>
        <v>0</v>
      </c>
      <c r="I175" s="99">
        <f t="shared" si="13"/>
        <v>-78750000</v>
      </c>
      <c r="J175" s="99">
        <f t="shared" si="16"/>
        <v>0</v>
      </c>
      <c r="K175" s="99">
        <f t="shared" si="17"/>
        <v>-78750000</v>
      </c>
    </row>
    <row r="176" spans="1:13">
      <c r="A176" s="99" t="s">
        <v>4018</v>
      </c>
      <c r="B176" s="18">
        <v>-9396</v>
      </c>
      <c r="C176" s="18">
        <v>0</v>
      </c>
      <c r="D176" s="18">
        <f t="shared" si="18"/>
        <v>-9396</v>
      </c>
      <c r="E176" s="99" t="s">
        <v>4019</v>
      </c>
      <c r="F176" s="99">
        <v>1</v>
      </c>
      <c r="G176" s="36">
        <f t="shared" si="14"/>
        <v>96</v>
      </c>
      <c r="H176" s="99">
        <f t="shared" si="15"/>
        <v>0</v>
      </c>
      <c r="I176" s="99">
        <f t="shared" si="13"/>
        <v>-902016</v>
      </c>
      <c r="J176" s="99">
        <f t="shared" si="16"/>
        <v>0</v>
      </c>
      <c r="K176" s="99">
        <f t="shared" si="17"/>
        <v>-902016</v>
      </c>
    </row>
    <row r="177" spans="1:14">
      <c r="A177" s="99" t="s">
        <v>4022</v>
      </c>
      <c r="B177" s="18">
        <v>-43300</v>
      </c>
      <c r="C177" s="18">
        <v>0</v>
      </c>
      <c r="D177" s="18">
        <f t="shared" si="18"/>
        <v>-43300</v>
      </c>
      <c r="E177" s="99" t="s">
        <v>4024</v>
      </c>
      <c r="F177" s="99">
        <v>3</v>
      </c>
      <c r="G177" s="36">
        <f t="shared" si="14"/>
        <v>95</v>
      </c>
      <c r="H177" s="99">
        <f t="shared" si="15"/>
        <v>0</v>
      </c>
      <c r="I177" s="99">
        <f t="shared" si="13"/>
        <v>-4113500</v>
      </c>
      <c r="J177" s="99">
        <f t="shared" si="16"/>
        <v>0</v>
      </c>
      <c r="K177" s="99">
        <f t="shared" si="17"/>
        <v>-4113500</v>
      </c>
    </row>
    <row r="178" spans="1:14">
      <c r="A178" s="99" t="s">
        <v>3690</v>
      </c>
      <c r="B178" s="18">
        <v>360000</v>
      </c>
      <c r="C178" s="18">
        <v>0</v>
      </c>
      <c r="D178" s="18">
        <f t="shared" si="18"/>
        <v>360000</v>
      </c>
      <c r="E178" s="99" t="s">
        <v>4035</v>
      </c>
      <c r="F178" s="99">
        <v>2</v>
      </c>
      <c r="G178" s="36">
        <f t="shared" si="14"/>
        <v>92</v>
      </c>
      <c r="H178" s="99">
        <f t="shared" si="15"/>
        <v>1</v>
      </c>
      <c r="I178" s="99">
        <f t="shared" si="13"/>
        <v>32760000</v>
      </c>
      <c r="J178" s="99">
        <f t="shared" si="16"/>
        <v>0</v>
      </c>
      <c r="K178" s="99">
        <f t="shared" si="17"/>
        <v>32760000</v>
      </c>
    </row>
    <row r="179" spans="1:14">
      <c r="A179" s="99" t="s">
        <v>4037</v>
      </c>
      <c r="B179" s="18">
        <v>3000000</v>
      </c>
      <c r="C179" s="18">
        <v>0</v>
      </c>
      <c r="D179" s="18">
        <f t="shared" si="18"/>
        <v>3000000</v>
      </c>
      <c r="E179" s="99" t="s">
        <v>4038</v>
      </c>
      <c r="F179" s="99">
        <v>0</v>
      </c>
      <c r="G179" s="36">
        <f t="shared" si="14"/>
        <v>90</v>
      </c>
      <c r="H179" s="99">
        <f t="shared" si="15"/>
        <v>1</v>
      </c>
      <c r="I179" s="99">
        <f t="shared" si="13"/>
        <v>267000000</v>
      </c>
      <c r="J179" s="99">
        <f t="shared" si="16"/>
        <v>0</v>
      </c>
      <c r="K179" s="99">
        <f t="shared" si="17"/>
        <v>267000000</v>
      </c>
    </row>
    <row r="180" spans="1:14">
      <c r="A180" s="99" t="s">
        <v>4037</v>
      </c>
      <c r="B180" s="18">
        <v>-12050</v>
      </c>
      <c r="C180" s="18">
        <v>0</v>
      </c>
      <c r="D180" s="18">
        <f t="shared" si="18"/>
        <v>-12050</v>
      </c>
      <c r="E180" s="99" t="s">
        <v>4019</v>
      </c>
      <c r="F180" s="99">
        <v>2</v>
      </c>
      <c r="G180" s="36">
        <f t="shared" si="14"/>
        <v>90</v>
      </c>
      <c r="H180" s="99">
        <f t="shared" si="15"/>
        <v>0</v>
      </c>
      <c r="I180" s="99">
        <f t="shared" si="13"/>
        <v>-1084500</v>
      </c>
      <c r="J180" s="99">
        <f t="shared" si="16"/>
        <v>0</v>
      </c>
      <c r="K180" s="99">
        <f t="shared" si="17"/>
        <v>-1084500</v>
      </c>
    </row>
    <row r="181" spans="1:14">
      <c r="A181" s="99" t="s">
        <v>4042</v>
      </c>
      <c r="B181" s="18">
        <v>3000000</v>
      </c>
      <c r="C181" s="18">
        <v>0</v>
      </c>
      <c r="D181" s="18">
        <f t="shared" si="18"/>
        <v>3000000</v>
      </c>
      <c r="E181" s="99" t="s">
        <v>4043</v>
      </c>
      <c r="F181" s="99">
        <v>2</v>
      </c>
      <c r="G181" s="36">
        <f t="shared" si="14"/>
        <v>88</v>
      </c>
      <c r="H181" s="99">
        <f t="shared" si="15"/>
        <v>1</v>
      </c>
      <c r="I181" s="99">
        <f t="shared" si="13"/>
        <v>261000000</v>
      </c>
      <c r="J181" s="99">
        <f t="shared" si="16"/>
        <v>0</v>
      </c>
      <c r="K181" s="99">
        <f t="shared" si="17"/>
        <v>261000000</v>
      </c>
    </row>
    <row r="182" spans="1:14">
      <c r="A182" s="99" t="s">
        <v>4050</v>
      </c>
      <c r="B182" s="18">
        <v>-35800</v>
      </c>
      <c r="C182" s="18">
        <v>0</v>
      </c>
      <c r="D182" s="18">
        <f t="shared" si="18"/>
        <v>-35800</v>
      </c>
      <c r="E182" s="99" t="s">
        <v>4051</v>
      </c>
      <c r="F182" s="99">
        <v>1</v>
      </c>
      <c r="G182" s="36">
        <f t="shared" si="14"/>
        <v>86</v>
      </c>
      <c r="H182" s="99">
        <f t="shared" si="15"/>
        <v>0</v>
      </c>
      <c r="I182" s="99">
        <f t="shared" si="13"/>
        <v>-3078800</v>
      </c>
      <c r="J182" s="99">
        <f t="shared" si="16"/>
        <v>0</v>
      </c>
      <c r="K182" s="99">
        <f t="shared" si="17"/>
        <v>-3078800</v>
      </c>
      <c r="N182" t="s">
        <v>25</v>
      </c>
    </row>
    <row r="183" spans="1:14">
      <c r="A183" s="99" t="s">
        <v>4049</v>
      </c>
      <c r="B183" s="18">
        <v>3600000</v>
      </c>
      <c r="C183" s="18">
        <v>0</v>
      </c>
      <c r="D183" s="18">
        <f t="shared" si="18"/>
        <v>3600000</v>
      </c>
      <c r="E183" s="99" t="s">
        <v>4052</v>
      </c>
      <c r="F183" s="99">
        <v>0</v>
      </c>
      <c r="G183" s="36">
        <f t="shared" si="14"/>
        <v>85</v>
      </c>
      <c r="H183" s="99">
        <f t="shared" si="15"/>
        <v>1</v>
      </c>
      <c r="I183" s="99">
        <f t="shared" si="13"/>
        <v>302400000</v>
      </c>
      <c r="J183" s="99">
        <f t="shared" si="16"/>
        <v>0</v>
      </c>
      <c r="K183" s="99">
        <f t="shared" si="17"/>
        <v>302400000</v>
      </c>
    </row>
    <row r="184" spans="1:14">
      <c r="A184" s="99" t="s">
        <v>4049</v>
      </c>
      <c r="B184" s="18">
        <v>-33377</v>
      </c>
      <c r="C184" s="18">
        <v>0</v>
      </c>
      <c r="D184" s="18">
        <f t="shared" si="18"/>
        <v>-33377</v>
      </c>
      <c r="E184" s="99" t="s">
        <v>4053</v>
      </c>
      <c r="F184" s="99">
        <v>3</v>
      </c>
      <c r="G184" s="36">
        <f t="shared" si="14"/>
        <v>85</v>
      </c>
      <c r="H184" s="99">
        <f t="shared" si="15"/>
        <v>0</v>
      </c>
      <c r="I184" s="99">
        <f t="shared" si="13"/>
        <v>-2837045</v>
      </c>
      <c r="J184" s="99">
        <f t="shared" si="16"/>
        <v>0</v>
      </c>
      <c r="K184" s="99">
        <f t="shared" si="17"/>
        <v>-2837045</v>
      </c>
    </row>
    <row r="185" spans="1:14">
      <c r="A185" s="99" t="s">
        <v>4072</v>
      </c>
      <c r="B185" s="18">
        <v>-9800000</v>
      </c>
      <c r="C185" s="18">
        <v>0</v>
      </c>
      <c r="D185" s="18">
        <f t="shared" si="18"/>
        <v>-9800000</v>
      </c>
      <c r="E185" s="99" t="s">
        <v>1220</v>
      </c>
      <c r="F185" s="99">
        <v>0</v>
      </c>
      <c r="G185" s="36">
        <f t="shared" si="14"/>
        <v>82</v>
      </c>
      <c r="H185" s="99">
        <f t="shared" si="15"/>
        <v>0</v>
      </c>
      <c r="I185" s="99">
        <f t="shared" si="13"/>
        <v>-803600000</v>
      </c>
      <c r="J185" s="99">
        <f t="shared" si="16"/>
        <v>0</v>
      </c>
      <c r="K185" s="99">
        <f t="shared" si="17"/>
        <v>-803600000</v>
      </c>
    </row>
    <row r="186" spans="1:14">
      <c r="A186" s="99" t="s">
        <v>4072</v>
      </c>
      <c r="B186" s="18">
        <v>18000000</v>
      </c>
      <c r="C186" s="18">
        <v>0</v>
      </c>
      <c r="D186" s="18">
        <f t="shared" si="18"/>
        <v>18000000</v>
      </c>
      <c r="E186" s="99" t="s">
        <v>4074</v>
      </c>
      <c r="F186" s="99">
        <v>0</v>
      </c>
      <c r="G186" s="36">
        <f t="shared" si="14"/>
        <v>82</v>
      </c>
      <c r="H186" s="99">
        <f t="shared" si="15"/>
        <v>1</v>
      </c>
      <c r="I186" s="99">
        <f t="shared" si="13"/>
        <v>1458000000</v>
      </c>
      <c r="J186" s="99">
        <f t="shared" si="16"/>
        <v>0</v>
      </c>
      <c r="K186" s="99">
        <f t="shared" si="17"/>
        <v>1458000000</v>
      </c>
    </row>
    <row r="187" spans="1:14">
      <c r="A187" s="99" t="s">
        <v>4072</v>
      </c>
      <c r="B187" s="18">
        <v>-9000000</v>
      </c>
      <c r="C187" s="18">
        <v>0</v>
      </c>
      <c r="D187" s="18">
        <f t="shared" si="18"/>
        <v>-9000000</v>
      </c>
      <c r="E187" s="99" t="s">
        <v>1220</v>
      </c>
      <c r="F187" s="99">
        <v>0</v>
      </c>
      <c r="G187" s="36">
        <f t="shared" si="14"/>
        <v>82</v>
      </c>
      <c r="H187" s="99">
        <f t="shared" si="15"/>
        <v>0</v>
      </c>
      <c r="I187" s="99">
        <f t="shared" si="13"/>
        <v>-738000000</v>
      </c>
      <c r="J187" s="99">
        <f t="shared" si="16"/>
        <v>0</v>
      </c>
      <c r="K187" s="99">
        <f t="shared" si="17"/>
        <v>-738000000</v>
      </c>
    </row>
    <row r="188" spans="1:14">
      <c r="A188" s="99" t="s">
        <v>4072</v>
      </c>
      <c r="B188" s="18">
        <v>-11600</v>
      </c>
      <c r="C188" s="18">
        <v>0</v>
      </c>
      <c r="D188" s="18">
        <f t="shared" si="18"/>
        <v>-11600</v>
      </c>
      <c r="E188" s="99" t="s">
        <v>3946</v>
      </c>
      <c r="F188" s="99">
        <v>0</v>
      </c>
      <c r="G188" s="36">
        <f t="shared" si="14"/>
        <v>82</v>
      </c>
      <c r="H188" s="99">
        <f t="shared" si="15"/>
        <v>0</v>
      </c>
      <c r="I188" s="99">
        <f t="shared" si="13"/>
        <v>-951200</v>
      </c>
      <c r="J188" s="99">
        <f t="shared" si="16"/>
        <v>0</v>
      </c>
      <c r="K188" s="99">
        <f t="shared" si="17"/>
        <v>-951200</v>
      </c>
    </row>
    <row r="189" spans="1:14">
      <c r="A189" s="99" t="s">
        <v>4072</v>
      </c>
      <c r="B189" s="18">
        <v>-3304327</v>
      </c>
      <c r="C189" s="18">
        <v>0</v>
      </c>
      <c r="D189" s="18">
        <f t="shared" si="18"/>
        <v>-3304327</v>
      </c>
      <c r="E189" s="99" t="s">
        <v>4075</v>
      </c>
      <c r="F189" s="99">
        <v>1</v>
      </c>
      <c r="G189" s="36">
        <f t="shared" si="14"/>
        <v>82</v>
      </c>
      <c r="H189" s="99">
        <f t="shared" si="15"/>
        <v>0</v>
      </c>
      <c r="I189" s="99">
        <f t="shared" si="13"/>
        <v>-270954814</v>
      </c>
      <c r="J189" s="99">
        <f t="shared" si="16"/>
        <v>0</v>
      </c>
      <c r="K189" s="99">
        <f t="shared" si="17"/>
        <v>-270954814</v>
      </c>
    </row>
    <row r="190" spans="1:14">
      <c r="A190" s="99" t="s">
        <v>4081</v>
      </c>
      <c r="B190" s="18">
        <v>-3000900</v>
      </c>
      <c r="C190" s="18">
        <v>0</v>
      </c>
      <c r="D190" s="18">
        <f t="shared" si="18"/>
        <v>-3000900</v>
      </c>
      <c r="E190" s="99" t="s">
        <v>4082</v>
      </c>
      <c r="F190" s="99">
        <v>1</v>
      </c>
      <c r="G190" s="36">
        <f t="shared" si="14"/>
        <v>81</v>
      </c>
      <c r="H190" s="99">
        <f t="shared" si="15"/>
        <v>0</v>
      </c>
      <c r="I190" s="99">
        <f t="shared" si="13"/>
        <v>-243072900</v>
      </c>
      <c r="J190" s="99">
        <f t="shared" si="16"/>
        <v>0</v>
      </c>
      <c r="K190" s="99">
        <f t="shared" si="17"/>
        <v>-243072900</v>
      </c>
    </row>
    <row r="191" spans="1:14">
      <c r="A191" s="99" t="s">
        <v>4086</v>
      </c>
      <c r="B191" s="18">
        <v>-2760900</v>
      </c>
      <c r="C191" s="18">
        <v>0</v>
      </c>
      <c r="D191" s="18">
        <f t="shared" si="18"/>
        <v>-2760900</v>
      </c>
      <c r="E191" s="99" t="s">
        <v>4087</v>
      </c>
      <c r="F191" s="99">
        <v>5</v>
      </c>
      <c r="G191" s="36">
        <f t="shared" si="14"/>
        <v>80</v>
      </c>
      <c r="H191" s="99">
        <f t="shared" si="15"/>
        <v>0</v>
      </c>
      <c r="I191" s="99">
        <f t="shared" si="13"/>
        <v>-220872000</v>
      </c>
      <c r="J191" s="99">
        <f t="shared" si="16"/>
        <v>0</v>
      </c>
      <c r="K191" s="99">
        <f t="shared" si="17"/>
        <v>-220872000</v>
      </c>
    </row>
    <row r="192" spans="1:14">
      <c r="A192" s="99" t="s">
        <v>4100</v>
      </c>
      <c r="B192" s="18">
        <v>1000000</v>
      </c>
      <c r="C192" s="18">
        <v>0</v>
      </c>
      <c r="D192" s="18">
        <f t="shared" si="18"/>
        <v>1000000</v>
      </c>
      <c r="E192" s="99" t="s">
        <v>4079</v>
      </c>
      <c r="F192" s="99">
        <v>1</v>
      </c>
      <c r="G192" s="36">
        <f t="shared" si="14"/>
        <v>75</v>
      </c>
      <c r="H192" s="99">
        <f t="shared" si="15"/>
        <v>1</v>
      </c>
      <c r="I192" s="99">
        <f t="shared" si="13"/>
        <v>74000000</v>
      </c>
      <c r="J192" s="99">
        <f t="shared" si="16"/>
        <v>0</v>
      </c>
      <c r="K192" s="99">
        <f t="shared" si="17"/>
        <v>74000000</v>
      </c>
    </row>
    <row r="193" spans="1:11">
      <c r="A193" s="99" t="s">
        <v>4116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74</v>
      </c>
      <c r="H193" s="99">
        <f t="shared" si="15"/>
        <v>0</v>
      </c>
      <c r="I193" s="99">
        <f t="shared" si="13"/>
        <v>-1110000</v>
      </c>
      <c r="J193" s="99">
        <f t="shared" si="16"/>
        <v>0</v>
      </c>
      <c r="K193" s="99">
        <f t="shared" si="17"/>
        <v>-1110000</v>
      </c>
    </row>
    <row r="194" spans="1:11">
      <c r="A194" s="99" t="s">
        <v>4112</v>
      </c>
      <c r="B194" s="18">
        <v>-990000</v>
      </c>
      <c r="C194" s="18">
        <v>0</v>
      </c>
      <c r="D194" s="18">
        <f t="shared" si="18"/>
        <v>-990000</v>
      </c>
      <c r="E194" s="99" t="s">
        <v>3773</v>
      </c>
      <c r="F194" s="99">
        <v>0</v>
      </c>
      <c r="G194" s="36">
        <f t="shared" si="14"/>
        <v>72</v>
      </c>
      <c r="H194" s="99">
        <f t="shared" si="15"/>
        <v>0</v>
      </c>
      <c r="I194" s="99">
        <f t="shared" si="13"/>
        <v>-71280000</v>
      </c>
      <c r="J194" s="99">
        <f t="shared" si="16"/>
        <v>0</v>
      </c>
      <c r="K194" s="99">
        <f t="shared" si="17"/>
        <v>-71280000</v>
      </c>
    </row>
    <row r="195" spans="1:11">
      <c r="A195" s="99" t="s">
        <v>4112</v>
      </c>
      <c r="B195" s="18">
        <v>783000</v>
      </c>
      <c r="C195" s="18">
        <v>0</v>
      </c>
      <c r="D195" s="18">
        <f t="shared" si="18"/>
        <v>783000</v>
      </c>
      <c r="E195" s="99" t="s">
        <v>4120</v>
      </c>
      <c r="F195" s="99">
        <v>2</v>
      </c>
      <c r="G195" s="36">
        <f t="shared" si="14"/>
        <v>72</v>
      </c>
      <c r="H195" s="99">
        <f t="shared" si="15"/>
        <v>1</v>
      </c>
      <c r="I195" s="99">
        <f t="shared" si="13"/>
        <v>55593000</v>
      </c>
      <c r="J195" s="99">
        <f t="shared" si="16"/>
        <v>0</v>
      </c>
      <c r="K195" s="99">
        <f t="shared" si="17"/>
        <v>55593000</v>
      </c>
    </row>
    <row r="196" spans="1:11">
      <c r="A196" s="99" t="s">
        <v>4124</v>
      </c>
      <c r="B196" s="18">
        <v>-750500</v>
      </c>
      <c r="C196" s="18">
        <v>0</v>
      </c>
      <c r="D196" s="18">
        <f t="shared" si="18"/>
        <v>-750500</v>
      </c>
      <c r="E196" s="99" t="s">
        <v>4125</v>
      </c>
      <c r="F196" s="99">
        <v>2</v>
      </c>
      <c r="G196" s="36">
        <f t="shared" si="14"/>
        <v>70</v>
      </c>
      <c r="H196" s="99">
        <f t="shared" si="15"/>
        <v>0</v>
      </c>
      <c r="I196" s="99">
        <f t="shared" si="13"/>
        <v>-52535000</v>
      </c>
      <c r="J196" s="99">
        <f t="shared" si="16"/>
        <v>0</v>
      </c>
      <c r="K196" s="99">
        <f t="shared" si="17"/>
        <v>-52535000</v>
      </c>
    </row>
    <row r="197" spans="1:11">
      <c r="A197" s="99" t="s">
        <v>4137</v>
      </c>
      <c r="B197" s="18">
        <v>700000</v>
      </c>
      <c r="C197" s="18">
        <v>0</v>
      </c>
      <c r="D197" s="18">
        <f t="shared" si="18"/>
        <v>700000</v>
      </c>
      <c r="E197" s="99" t="s">
        <v>3895</v>
      </c>
      <c r="F197" s="99">
        <v>0</v>
      </c>
      <c r="G197" s="36">
        <f t="shared" si="14"/>
        <v>68</v>
      </c>
      <c r="H197" s="99">
        <f t="shared" si="15"/>
        <v>1</v>
      </c>
      <c r="I197" s="99">
        <f t="shared" si="13"/>
        <v>46900000</v>
      </c>
      <c r="J197" s="99">
        <f t="shared" si="16"/>
        <v>0</v>
      </c>
      <c r="K197" s="99">
        <f t="shared" si="17"/>
        <v>46900000</v>
      </c>
    </row>
    <row r="198" spans="1:11">
      <c r="A198" s="99" t="s">
        <v>4137</v>
      </c>
      <c r="B198" s="18">
        <v>-99000</v>
      </c>
      <c r="C198" s="18">
        <v>0</v>
      </c>
      <c r="D198" s="18">
        <f t="shared" si="18"/>
        <v>-99000</v>
      </c>
      <c r="E198" s="99" t="s">
        <v>4139</v>
      </c>
      <c r="F198" s="99">
        <v>1</v>
      </c>
      <c r="G198" s="36">
        <f t="shared" si="14"/>
        <v>68</v>
      </c>
      <c r="H198" s="99">
        <f t="shared" si="15"/>
        <v>0</v>
      </c>
      <c r="I198" s="99">
        <f t="shared" si="13"/>
        <v>-6732000</v>
      </c>
      <c r="J198" s="99">
        <f t="shared" si="16"/>
        <v>0</v>
      </c>
      <c r="K198" s="99">
        <f t="shared" si="17"/>
        <v>-6732000</v>
      </c>
    </row>
    <row r="199" spans="1:11">
      <c r="A199" s="99" t="s">
        <v>4140</v>
      </c>
      <c r="B199" s="18">
        <v>-205750</v>
      </c>
      <c r="C199" s="18">
        <v>0</v>
      </c>
      <c r="D199" s="18">
        <f t="shared" si="18"/>
        <v>-205750</v>
      </c>
      <c r="E199" s="99" t="s">
        <v>4141</v>
      </c>
      <c r="F199" s="99">
        <v>0</v>
      </c>
      <c r="G199" s="36">
        <f t="shared" si="14"/>
        <v>67</v>
      </c>
      <c r="H199" s="99">
        <f t="shared" si="15"/>
        <v>0</v>
      </c>
      <c r="I199" s="99">
        <f t="shared" si="13"/>
        <v>-13785250</v>
      </c>
      <c r="J199" s="99">
        <f t="shared" si="16"/>
        <v>0</v>
      </c>
      <c r="K199" s="99">
        <f t="shared" si="17"/>
        <v>-13785250</v>
      </c>
    </row>
    <row r="200" spans="1:11">
      <c r="A200" s="99" t="s">
        <v>4140</v>
      </c>
      <c r="B200" s="18">
        <v>-95000</v>
      </c>
      <c r="C200" s="18">
        <v>0</v>
      </c>
      <c r="D200" s="18">
        <f t="shared" si="18"/>
        <v>-95000</v>
      </c>
      <c r="E200" s="99" t="s">
        <v>4142</v>
      </c>
      <c r="F200" s="99">
        <v>3</v>
      </c>
      <c r="G200" s="36">
        <f t="shared" si="14"/>
        <v>67</v>
      </c>
      <c r="H200" s="99">
        <f t="shared" si="15"/>
        <v>0</v>
      </c>
      <c r="I200" s="99">
        <f t="shared" si="13"/>
        <v>-6365000</v>
      </c>
      <c r="J200" s="99">
        <f t="shared" si="16"/>
        <v>0</v>
      </c>
      <c r="K200" s="99">
        <f t="shared" si="17"/>
        <v>-6365000</v>
      </c>
    </row>
    <row r="201" spans="1:11">
      <c r="A201" s="99" t="s">
        <v>4160</v>
      </c>
      <c r="B201" s="18">
        <v>48650000</v>
      </c>
      <c r="C201" s="18">
        <v>0</v>
      </c>
      <c r="D201" s="18">
        <f t="shared" si="18"/>
        <v>48650000</v>
      </c>
      <c r="E201" s="99" t="s">
        <v>4161</v>
      </c>
      <c r="F201" s="99">
        <v>0</v>
      </c>
      <c r="G201" s="36">
        <f t="shared" si="14"/>
        <v>64</v>
      </c>
      <c r="H201" s="99">
        <f t="shared" si="15"/>
        <v>1</v>
      </c>
      <c r="I201" s="99">
        <f t="shared" si="13"/>
        <v>3064950000</v>
      </c>
      <c r="J201" s="99">
        <f t="shared" si="16"/>
        <v>0</v>
      </c>
      <c r="K201" s="99">
        <f t="shared" si="17"/>
        <v>3064950000</v>
      </c>
    </row>
    <row r="202" spans="1:11">
      <c r="A202" s="99" t="s">
        <v>4160</v>
      </c>
      <c r="B202" s="18">
        <v>-3000900</v>
      </c>
      <c r="C202" s="18">
        <v>0</v>
      </c>
      <c r="D202" s="18">
        <f t="shared" si="18"/>
        <v>-3000900</v>
      </c>
      <c r="E202" s="99" t="s">
        <v>1223</v>
      </c>
      <c r="F202" s="99">
        <v>0</v>
      </c>
      <c r="G202" s="36">
        <f t="shared" si="14"/>
        <v>64</v>
      </c>
      <c r="H202" s="99">
        <f t="shared" si="15"/>
        <v>0</v>
      </c>
      <c r="I202" s="99">
        <f t="shared" si="13"/>
        <v>-192057600</v>
      </c>
      <c r="J202" s="99">
        <f t="shared" si="16"/>
        <v>0</v>
      </c>
      <c r="K202" s="99">
        <f t="shared" si="17"/>
        <v>-192057600</v>
      </c>
    </row>
    <row r="203" spans="1:11">
      <c r="A203" s="99" t="s">
        <v>4160</v>
      </c>
      <c r="B203" s="18">
        <v>-5000</v>
      </c>
      <c r="C203" s="18">
        <v>0</v>
      </c>
      <c r="D203" s="18">
        <f t="shared" si="18"/>
        <v>-5000</v>
      </c>
      <c r="E203" s="99" t="s">
        <v>4162</v>
      </c>
      <c r="F203" s="99">
        <v>0</v>
      </c>
      <c r="G203" s="36">
        <f t="shared" si="14"/>
        <v>64</v>
      </c>
      <c r="H203" s="99">
        <f t="shared" si="15"/>
        <v>0</v>
      </c>
      <c r="I203" s="99">
        <f t="shared" si="13"/>
        <v>-320000</v>
      </c>
      <c r="J203" s="99">
        <f t="shared" si="16"/>
        <v>0</v>
      </c>
      <c r="K203" s="99">
        <f t="shared" si="17"/>
        <v>-320000</v>
      </c>
    </row>
    <row r="204" spans="1:11">
      <c r="A204" s="99" t="s">
        <v>4160</v>
      </c>
      <c r="B204" s="18">
        <v>-33500000</v>
      </c>
      <c r="C204" s="18">
        <v>0</v>
      </c>
      <c r="D204" s="18">
        <f t="shared" si="18"/>
        <v>-33500000</v>
      </c>
      <c r="E204" s="99" t="s">
        <v>3773</v>
      </c>
      <c r="F204" s="99">
        <v>1</v>
      </c>
      <c r="G204" s="36">
        <f>G205+F204</f>
        <v>64</v>
      </c>
      <c r="H204" s="99">
        <f t="shared" si="15"/>
        <v>0</v>
      </c>
      <c r="I204" s="99">
        <f t="shared" si="13"/>
        <v>-2144000000</v>
      </c>
      <c r="J204" s="99">
        <f t="shared" si="16"/>
        <v>0</v>
      </c>
      <c r="K204" s="99">
        <f t="shared" si="17"/>
        <v>-2144000000</v>
      </c>
    </row>
    <row r="205" spans="1:11">
      <c r="A205" s="11" t="s">
        <v>4165</v>
      </c>
      <c r="B205" s="18">
        <v>-12435000</v>
      </c>
      <c r="C205" s="18">
        <v>0</v>
      </c>
      <c r="D205" s="18">
        <f t="shared" si="18"/>
        <v>-12435000</v>
      </c>
      <c r="E205" s="11" t="s">
        <v>3773</v>
      </c>
      <c r="F205" s="11">
        <v>3</v>
      </c>
      <c r="G205" s="36">
        <f t="shared" ref="G205:G266" si="19">G206+F205</f>
        <v>63</v>
      </c>
      <c r="H205" s="99">
        <f t="shared" si="15"/>
        <v>0</v>
      </c>
      <c r="I205" s="99">
        <f t="shared" si="13"/>
        <v>-783405000</v>
      </c>
      <c r="J205" s="99">
        <f t="shared" si="16"/>
        <v>0</v>
      </c>
      <c r="K205" s="99">
        <f t="shared" si="17"/>
        <v>-783405000</v>
      </c>
    </row>
    <row r="206" spans="1:11">
      <c r="A206" s="99" t="s">
        <v>4178</v>
      </c>
      <c r="B206" s="18">
        <v>-18500</v>
      </c>
      <c r="C206" s="18">
        <v>0</v>
      </c>
      <c r="D206" s="18">
        <f t="shared" si="18"/>
        <v>-18500</v>
      </c>
      <c r="E206" s="99" t="s">
        <v>4179</v>
      </c>
      <c r="F206" s="99">
        <v>2</v>
      </c>
      <c r="G206" s="36">
        <f t="shared" si="19"/>
        <v>60</v>
      </c>
      <c r="H206" s="99">
        <f t="shared" si="15"/>
        <v>0</v>
      </c>
      <c r="I206" s="99">
        <f t="shared" si="13"/>
        <v>-1110000</v>
      </c>
      <c r="J206" s="99">
        <f t="shared" si="16"/>
        <v>0</v>
      </c>
      <c r="K206" s="99">
        <f t="shared" si="17"/>
        <v>-1110000</v>
      </c>
    </row>
    <row r="207" spans="1:11">
      <c r="A207" s="99" t="s">
        <v>4175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58</v>
      </c>
      <c r="H207" s="99">
        <f t="shared" si="15"/>
        <v>1</v>
      </c>
      <c r="I207" s="99">
        <f t="shared" si="13"/>
        <v>825360</v>
      </c>
      <c r="J207" s="99">
        <f t="shared" ref="J207:J266" si="20">C207*(G207-H207)</f>
        <v>4039818</v>
      </c>
      <c r="K207" s="99">
        <f t="shared" si="17"/>
        <v>-3214458</v>
      </c>
    </row>
    <row r="208" spans="1:11">
      <c r="A208" s="99" t="s">
        <v>4181</v>
      </c>
      <c r="B208" s="18">
        <v>830000</v>
      </c>
      <c r="C208" s="18">
        <v>0</v>
      </c>
      <c r="D208" s="18">
        <f t="shared" si="18"/>
        <v>830000</v>
      </c>
      <c r="E208" s="99" t="s">
        <v>4182</v>
      </c>
      <c r="F208" s="99">
        <v>2</v>
      </c>
      <c r="G208" s="36">
        <f t="shared" si="19"/>
        <v>57</v>
      </c>
      <c r="H208" s="99">
        <f t="shared" si="15"/>
        <v>1</v>
      </c>
      <c r="I208" s="99">
        <f t="shared" si="13"/>
        <v>46480000</v>
      </c>
      <c r="J208" s="99">
        <f t="shared" si="20"/>
        <v>0</v>
      </c>
      <c r="K208" s="99">
        <f t="shared" si="17"/>
        <v>46480000</v>
      </c>
    </row>
    <row r="209" spans="1:13">
      <c r="A209" s="99" t="s">
        <v>4198</v>
      </c>
      <c r="B209" s="18">
        <v>-52440</v>
      </c>
      <c r="C209" s="18">
        <v>0</v>
      </c>
      <c r="D209" s="18">
        <f t="shared" si="18"/>
        <v>-52440</v>
      </c>
      <c r="E209" s="99" t="s">
        <v>4200</v>
      </c>
      <c r="F209" s="99">
        <v>1</v>
      </c>
      <c r="G209" s="36">
        <f t="shared" si="19"/>
        <v>55</v>
      </c>
      <c r="H209" s="99">
        <f t="shared" si="15"/>
        <v>0</v>
      </c>
      <c r="I209" s="99">
        <f t="shared" si="13"/>
        <v>-2884200</v>
      </c>
      <c r="J209" s="99">
        <f t="shared" si="20"/>
        <v>0</v>
      </c>
      <c r="K209" s="99">
        <f t="shared" si="17"/>
        <v>-2884200</v>
      </c>
    </row>
    <row r="210" spans="1:13">
      <c r="A210" s="99" t="s">
        <v>4201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54</v>
      </c>
      <c r="H210" s="99">
        <f t="shared" si="15"/>
        <v>0</v>
      </c>
      <c r="I210" s="99">
        <f t="shared" si="13"/>
        <v>-2759400</v>
      </c>
      <c r="J210" s="99">
        <f t="shared" si="20"/>
        <v>0</v>
      </c>
      <c r="K210" s="99">
        <f t="shared" si="17"/>
        <v>-2759400</v>
      </c>
    </row>
    <row r="211" spans="1:13">
      <c r="A211" s="99" t="s">
        <v>4202</v>
      </c>
      <c r="B211" s="18">
        <v>-200000</v>
      </c>
      <c r="C211" s="18">
        <v>0</v>
      </c>
      <c r="D211" s="18">
        <f t="shared" si="18"/>
        <v>-200000</v>
      </c>
      <c r="E211" s="99" t="s">
        <v>4203</v>
      </c>
      <c r="F211" s="99">
        <v>1</v>
      </c>
      <c r="G211" s="36">
        <f t="shared" si="19"/>
        <v>53</v>
      </c>
      <c r="H211" s="99">
        <f t="shared" si="15"/>
        <v>0</v>
      </c>
      <c r="I211" s="99">
        <f t="shared" si="13"/>
        <v>-10600000</v>
      </c>
      <c r="J211" s="99">
        <f t="shared" si="20"/>
        <v>0</v>
      </c>
      <c r="K211" s="99">
        <f t="shared" si="17"/>
        <v>-10600000</v>
      </c>
    </row>
    <row r="212" spans="1:13">
      <c r="A212" s="99" t="s">
        <v>4204</v>
      </c>
      <c r="B212" s="18">
        <v>-28000</v>
      </c>
      <c r="C212" s="18">
        <v>0</v>
      </c>
      <c r="D212" s="18">
        <f t="shared" si="18"/>
        <v>-28000</v>
      </c>
      <c r="E212" s="99" t="s">
        <v>1040</v>
      </c>
      <c r="F212" s="99">
        <v>1</v>
      </c>
      <c r="G212" s="36">
        <f t="shared" si="19"/>
        <v>52</v>
      </c>
      <c r="H212" s="99">
        <f t="shared" si="15"/>
        <v>0</v>
      </c>
      <c r="I212" s="99">
        <f t="shared" si="13"/>
        <v>-1456000</v>
      </c>
      <c r="J212" s="99">
        <f t="shared" si="20"/>
        <v>0</v>
      </c>
      <c r="K212" s="99">
        <f t="shared" si="17"/>
        <v>-1456000</v>
      </c>
    </row>
    <row r="213" spans="1:13">
      <c r="A213" s="99" t="s">
        <v>4205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51</v>
      </c>
      <c r="H213" s="99">
        <f t="shared" si="15"/>
        <v>0</v>
      </c>
      <c r="I213" s="99">
        <f t="shared" si="13"/>
        <v>-3014100</v>
      </c>
      <c r="J213" s="99">
        <f t="shared" si="20"/>
        <v>0</v>
      </c>
      <c r="K213" s="99">
        <f t="shared" si="17"/>
        <v>-3014100</v>
      </c>
    </row>
    <row r="214" spans="1:13">
      <c r="A214" s="99" t="s">
        <v>4205</v>
      </c>
      <c r="B214" s="18">
        <v>-30000</v>
      </c>
      <c r="C214" s="18">
        <v>0</v>
      </c>
      <c r="D214" s="18">
        <f t="shared" si="18"/>
        <v>-30000</v>
      </c>
      <c r="E214" s="99" t="s">
        <v>4206</v>
      </c>
      <c r="F214" s="99">
        <v>0</v>
      </c>
      <c r="G214" s="36">
        <f t="shared" si="19"/>
        <v>50</v>
      </c>
      <c r="H214" s="99">
        <f t="shared" si="15"/>
        <v>0</v>
      </c>
      <c r="I214" s="99">
        <f t="shared" si="13"/>
        <v>-1500000</v>
      </c>
      <c r="J214" s="99">
        <f t="shared" si="20"/>
        <v>0</v>
      </c>
      <c r="K214" s="99">
        <f t="shared" si="17"/>
        <v>-1500000</v>
      </c>
    </row>
    <row r="215" spans="1:13">
      <c r="A215" s="99" t="s">
        <v>4205</v>
      </c>
      <c r="B215" s="18">
        <v>-178000</v>
      </c>
      <c r="C215" s="18">
        <v>0</v>
      </c>
      <c r="D215" s="18">
        <f t="shared" si="18"/>
        <v>-178000</v>
      </c>
      <c r="E215" s="99" t="s">
        <v>4208</v>
      </c>
      <c r="F215" s="99">
        <v>1</v>
      </c>
      <c r="G215" s="36">
        <f t="shared" si="19"/>
        <v>50</v>
      </c>
      <c r="H215" s="99">
        <f t="shared" si="15"/>
        <v>0</v>
      </c>
      <c r="I215" s="99">
        <f t="shared" si="13"/>
        <v>-8900000</v>
      </c>
      <c r="J215" s="99">
        <f t="shared" si="20"/>
        <v>0</v>
      </c>
      <c r="K215" s="99">
        <f t="shared" si="17"/>
        <v>-8900000</v>
      </c>
    </row>
    <row r="216" spans="1:13">
      <c r="A216" s="99" t="s">
        <v>4210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49</v>
      </c>
      <c r="H216" s="99">
        <f t="shared" si="15"/>
        <v>0</v>
      </c>
      <c r="I216" s="99">
        <f t="shared" si="13"/>
        <v>-4684890</v>
      </c>
      <c r="J216" s="99">
        <f t="shared" si="20"/>
        <v>0</v>
      </c>
      <c r="K216" s="99">
        <f t="shared" si="17"/>
        <v>-4684890</v>
      </c>
    </row>
    <row r="217" spans="1:13">
      <c r="A217" s="99" t="s">
        <v>4174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46</v>
      </c>
      <c r="H217" s="99">
        <f t="shared" si="15"/>
        <v>0</v>
      </c>
      <c r="I217" s="99">
        <f t="shared" si="13"/>
        <v>-3864000</v>
      </c>
      <c r="J217" s="99">
        <f t="shared" si="20"/>
        <v>0</v>
      </c>
      <c r="K217" s="99">
        <f t="shared" si="17"/>
        <v>-3864000</v>
      </c>
    </row>
    <row r="218" spans="1:13">
      <c r="A218" s="99" t="s">
        <v>4214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65" si="21">G219+F218</f>
        <v>44</v>
      </c>
      <c r="H218" s="99">
        <f t="shared" si="15"/>
        <v>0</v>
      </c>
      <c r="I218" s="99">
        <f t="shared" si="13"/>
        <v>-1452000</v>
      </c>
      <c r="J218" s="99">
        <f t="shared" si="20"/>
        <v>0</v>
      </c>
      <c r="K218" s="99">
        <f t="shared" si="17"/>
        <v>-1452000</v>
      </c>
    </row>
    <row r="219" spans="1:13">
      <c r="A219" s="99" t="s">
        <v>4219</v>
      </c>
      <c r="B219" s="18">
        <v>1548000</v>
      </c>
      <c r="C219" s="18">
        <v>0</v>
      </c>
      <c r="D219" s="18">
        <f t="shared" si="18"/>
        <v>1548000</v>
      </c>
      <c r="E219" s="99" t="s">
        <v>4249</v>
      </c>
      <c r="F219" s="99">
        <v>1</v>
      </c>
      <c r="G219" s="36">
        <f t="shared" si="21"/>
        <v>41</v>
      </c>
      <c r="H219" s="99">
        <f t="shared" si="15"/>
        <v>1</v>
      </c>
      <c r="I219" s="99">
        <f t="shared" si="13"/>
        <v>61920000</v>
      </c>
      <c r="J219" s="99">
        <f t="shared" si="20"/>
        <v>0</v>
      </c>
      <c r="K219" s="99">
        <f t="shared" si="17"/>
        <v>61920000</v>
      </c>
    </row>
    <row r="220" spans="1:13">
      <c r="A220" s="99" t="s">
        <v>4250</v>
      </c>
      <c r="B220" s="18">
        <v>-1400700</v>
      </c>
      <c r="C220" s="18">
        <v>0</v>
      </c>
      <c r="D220" s="18">
        <f t="shared" si="18"/>
        <v>-1400700</v>
      </c>
      <c r="E220" s="99" t="s">
        <v>4251</v>
      </c>
      <c r="F220" s="99">
        <v>0</v>
      </c>
      <c r="G220" s="36">
        <f t="shared" si="21"/>
        <v>40</v>
      </c>
      <c r="H220" s="99">
        <f t="shared" si="15"/>
        <v>0</v>
      </c>
      <c r="I220" s="99">
        <f t="shared" si="13"/>
        <v>-56028000</v>
      </c>
      <c r="J220" s="99">
        <f t="shared" si="20"/>
        <v>0</v>
      </c>
      <c r="K220" s="99">
        <f t="shared" si="17"/>
        <v>-56028000</v>
      </c>
    </row>
    <row r="221" spans="1:13">
      <c r="A221" s="99" t="s">
        <v>4250</v>
      </c>
      <c r="B221" s="18">
        <v>-10000</v>
      </c>
      <c r="C221" s="18">
        <v>0</v>
      </c>
      <c r="D221" s="18">
        <f t="shared" si="18"/>
        <v>-10000</v>
      </c>
      <c r="E221" s="99" t="s">
        <v>1137</v>
      </c>
      <c r="F221" s="99">
        <v>0</v>
      </c>
      <c r="G221" s="36">
        <f t="shared" si="21"/>
        <v>40</v>
      </c>
      <c r="H221" s="99">
        <f t="shared" si="15"/>
        <v>0</v>
      </c>
      <c r="I221" s="99">
        <f t="shared" si="13"/>
        <v>-400000</v>
      </c>
      <c r="J221" s="99">
        <f t="shared" si="20"/>
        <v>0</v>
      </c>
      <c r="K221" s="99">
        <f t="shared" si="17"/>
        <v>-400000</v>
      </c>
    </row>
    <row r="222" spans="1:13">
      <c r="A222" s="99" t="s">
        <v>4250</v>
      </c>
      <c r="B222" s="18">
        <v>-5000</v>
      </c>
      <c r="C222" s="18">
        <v>-2500</v>
      </c>
      <c r="D222" s="18">
        <f t="shared" si="18"/>
        <v>-2500</v>
      </c>
      <c r="E222" s="99" t="s">
        <v>4262</v>
      </c>
      <c r="F222" s="99">
        <v>6</v>
      </c>
      <c r="G222" s="36">
        <f t="shared" si="21"/>
        <v>40</v>
      </c>
      <c r="H222" s="99">
        <f t="shared" si="15"/>
        <v>0</v>
      </c>
      <c r="I222" s="99">
        <f t="shared" si="13"/>
        <v>-200000</v>
      </c>
      <c r="J222" s="99">
        <f t="shared" si="20"/>
        <v>-100000</v>
      </c>
      <c r="K222" s="99">
        <f t="shared" si="17"/>
        <v>-100000</v>
      </c>
    </row>
    <row r="223" spans="1:13">
      <c r="A223" s="99" t="s">
        <v>4275</v>
      </c>
      <c r="B223" s="18">
        <v>-190000</v>
      </c>
      <c r="C223" s="18">
        <v>0</v>
      </c>
      <c r="D223" s="18">
        <f t="shared" si="18"/>
        <v>-190000</v>
      </c>
      <c r="E223" s="99" t="s">
        <v>4276</v>
      </c>
      <c r="F223" s="99">
        <v>7</v>
      </c>
      <c r="G223" s="36">
        <f t="shared" si="21"/>
        <v>34</v>
      </c>
      <c r="H223" s="99">
        <f t="shared" si="15"/>
        <v>0</v>
      </c>
      <c r="I223" s="99">
        <f t="shared" si="13"/>
        <v>-6460000</v>
      </c>
      <c r="J223" s="99">
        <f t="shared" si="20"/>
        <v>0</v>
      </c>
      <c r="K223" s="99">
        <f t="shared" si="17"/>
        <v>-6460000</v>
      </c>
      <c r="M223" t="s">
        <v>25</v>
      </c>
    </row>
    <row r="224" spans="1:13">
      <c r="A224" s="99" t="s">
        <v>4321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27</v>
      </c>
      <c r="H224" s="99">
        <f t="shared" si="15"/>
        <v>1</v>
      </c>
      <c r="I224" s="99">
        <f t="shared" si="13"/>
        <v>49686</v>
      </c>
      <c r="J224" s="99">
        <f t="shared" si="20"/>
        <v>1689272</v>
      </c>
      <c r="K224" s="99">
        <f t="shared" si="17"/>
        <v>-1639586</v>
      </c>
      <c r="M224" t="s">
        <v>25</v>
      </c>
    </row>
    <row r="225" spans="1:13">
      <c r="A225" s="99" t="s">
        <v>4347</v>
      </c>
      <c r="B225" s="18">
        <v>5000000</v>
      </c>
      <c r="C225" s="18">
        <v>0</v>
      </c>
      <c r="D225" s="18">
        <f t="shared" si="18"/>
        <v>5000000</v>
      </c>
      <c r="E225" s="99" t="s">
        <v>3895</v>
      </c>
      <c r="F225" s="99">
        <v>1</v>
      </c>
      <c r="G225" s="36">
        <f t="shared" si="21"/>
        <v>21</v>
      </c>
      <c r="H225" s="99">
        <f t="shared" si="15"/>
        <v>1</v>
      </c>
      <c r="I225" s="99">
        <f t="shared" si="13"/>
        <v>100000000</v>
      </c>
      <c r="J225" s="99">
        <f t="shared" si="20"/>
        <v>0</v>
      </c>
      <c r="K225" s="99">
        <f t="shared" si="17"/>
        <v>100000000</v>
      </c>
    </row>
    <row r="226" spans="1:13">
      <c r="A226" s="99" t="s">
        <v>4354</v>
      </c>
      <c r="B226" s="18">
        <v>-3200000</v>
      </c>
      <c r="C226" s="18">
        <v>0</v>
      </c>
      <c r="D226" s="18">
        <f t="shared" si="18"/>
        <v>-3200000</v>
      </c>
      <c r="E226" s="99" t="s">
        <v>4369</v>
      </c>
      <c r="F226" s="99">
        <v>0</v>
      </c>
      <c r="G226" s="36">
        <f t="shared" si="21"/>
        <v>20</v>
      </c>
      <c r="H226" s="99">
        <f t="shared" si="15"/>
        <v>0</v>
      </c>
      <c r="I226" s="99">
        <f t="shared" si="13"/>
        <v>-64000000</v>
      </c>
      <c r="J226" s="99">
        <f t="shared" si="20"/>
        <v>0</v>
      </c>
      <c r="K226" s="99">
        <f t="shared" si="17"/>
        <v>-64000000</v>
      </c>
    </row>
    <row r="227" spans="1:13">
      <c r="A227" s="99" t="s">
        <v>4354</v>
      </c>
      <c r="B227" s="18">
        <v>2400000</v>
      </c>
      <c r="C227" s="18">
        <v>0</v>
      </c>
      <c r="D227" s="18">
        <f t="shared" si="18"/>
        <v>2400000</v>
      </c>
      <c r="E227" s="99" t="s">
        <v>3895</v>
      </c>
      <c r="F227" s="99">
        <v>2</v>
      </c>
      <c r="G227" s="36">
        <f t="shared" si="21"/>
        <v>20</v>
      </c>
      <c r="H227" s="99">
        <f t="shared" si="15"/>
        <v>1</v>
      </c>
      <c r="I227" s="99">
        <f t="shared" si="13"/>
        <v>45600000</v>
      </c>
      <c r="J227" s="99">
        <f t="shared" si="20"/>
        <v>0</v>
      </c>
      <c r="K227" s="99">
        <f t="shared" si="17"/>
        <v>45600000</v>
      </c>
    </row>
    <row r="228" spans="1:13">
      <c r="A228" s="99" t="s">
        <v>4386</v>
      </c>
      <c r="B228" s="18">
        <v>-50000</v>
      </c>
      <c r="C228" s="18">
        <v>0</v>
      </c>
      <c r="D228" s="18">
        <f t="shared" si="18"/>
        <v>-50000</v>
      </c>
      <c r="E228" s="99" t="s">
        <v>4390</v>
      </c>
      <c r="F228" s="99">
        <v>1</v>
      </c>
      <c r="G228" s="36">
        <f t="shared" si="21"/>
        <v>18</v>
      </c>
      <c r="H228" s="99">
        <f t="shared" si="15"/>
        <v>0</v>
      </c>
      <c r="I228" s="99">
        <f t="shared" si="13"/>
        <v>-900000</v>
      </c>
      <c r="J228" s="99">
        <f t="shared" si="20"/>
        <v>0</v>
      </c>
      <c r="K228" s="99">
        <f t="shared" si="17"/>
        <v>-900000</v>
      </c>
    </row>
    <row r="229" spans="1:13">
      <c r="A229" s="99" t="s">
        <v>4379</v>
      </c>
      <c r="B229" s="18">
        <v>-4100700</v>
      </c>
      <c r="C229" s="18">
        <v>0</v>
      </c>
      <c r="D229" s="18">
        <f t="shared" si="18"/>
        <v>-4100700</v>
      </c>
      <c r="E229" s="99" t="s">
        <v>4391</v>
      </c>
      <c r="F229" s="99">
        <v>4</v>
      </c>
      <c r="G229" s="36">
        <f t="shared" si="21"/>
        <v>17</v>
      </c>
      <c r="H229" s="99">
        <f t="shared" si="15"/>
        <v>0</v>
      </c>
      <c r="I229" s="99">
        <f t="shared" si="13"/>
        <v>-69711900</v>
      </c>
      <c r="J229" s="99">
        <f t="shared" si="20"/>
        <v>0</v>
      </c>
      <c r="K229" s="99">
        <f t="shared" si="17"/>
        <v>-69711900</v>
      </c>
    </row>
    <row r="230" spans="1:13">
      <c r="A230" s="99" t="s">
        <v>4400</v>
      </c>
      <c r="B230" s="18">
        <v>9700000</v>
      </c>
      <c r="C230" s="18">
        <v>0</v>
      </c>
      <c r="D230" s="18">
        <f t="shared" si="18"/>
        <v>9700000</v>
      </c>
      <c r="E230" s="99" t="s">
        <v>3895</v>
      </c>
      <c r="F230" s="99">
        <v>0</v>
      </c>
      <c r="G230" s="36">
        <f t="shared" si="21"/>
        <v>13</v>
      </c>
      <c r="H230" s="99">
        <f t="shared" si="15"/>
        <v>1</v>
      </c>
      <c r="I230" s="99">
        <f t="shared" si="13"/>
        <v>116400000</v>
      </c>
      <c r="J230" s="99">
        <f t="shared" si="20"/>
        <v>0</v>
      </c>
      <c r="K230" s="99">
        <f t="shared" si="17"/>
        <v>116400000</v>
      </c>
    </row>
    <row r="231" spans="1:13">
      <c r="A231" s="99" t="s">
        <v>4400</v>
      </c>
      <c r="B231" s="18">
        <v>-3000900</v>
      </c>
      <c r="C231" s="18">
        <v>0</v>
      </c>
      <c r="D231" s="18">
        <f t="shared" si="18"/>
        <v>-3000900</v>
      </c>
      <c r="E231" s="99" t="s">
        <v>4409</v>
      </c>
      <c r="F231" s="99">
        <v>1</v>
      </c>
      <c r="G231" s="36">
        <f t="shared" si="21"/>
        <v>13</v>
      </c>
      <c r="H231" s="99">
        <f t="shared" si="15"/>
        <v>0</v>
      </c>
      <c r="I231" s="99">
        <f t="shared" si="13"/>
        <v>-39011700</v>
      </c>
      <c r="J231" s="99">
        <f t="shared" si="20"/>
        <v>0</v>
      </c>
      <c r="K231" s="99">
        <f t="shared" si="17"/>
        <v>-39011700</v>
      </c>
    </row>
    <row r="232" spans="1:13">
      <c r="A232" s="99" t="s">
        <v>4401</v>
      </c>
      <c r="B232" s="18">
        <v>-3000900</v>
      </c>
      <c r="C232" s="18">
        <v>0</v>
      </c>
      <c r="D232" s="18">
        <f t="shared" si="18"/>
        <v>-3000900</v>
      </c>
      <c r="E232" s="99" t="s">
        <v>4409</v>
      </c>
      <c r="F232" s="99">
        <v>0</v>
      </c>
      <c r="G232" s="36">
        <f t="shared" si="21"/>
        <v>12</v>
      </c>
      <c r="H232" s="99">
        <f t="shared" si="15"/>
        <v>0</v>
      </c>
      <c r="I232" s="99">
        <f t="shared" si="13"/>
        <v>-36010800</v>
      </c>
      <c r="J232" s="99">
        <f t="shared" si="20"/>
        <v>0</v>
      </c>
      <c r="K232" s="99">
        <f t="shared" si="17"/>
        <v>-36010800</v>
      </c>
    </row>
    <row r="233" spans="1:13">
      <c r="A233" s="99" t="s">
        <v>4401</v>
      </c>
      <c r="B233" s="18">
        <v>-555000</v>
      </c>
      <c r="C233" s="18">
        <v>0</v>
      </c>
      <c r="D233" s="18">
        <f t="shared" si="18"/>
        <v>-555000</v>
      </c>
      <c r="E233" s="99" t="s">
        <v>4276</v>
      </c>
      <c r="F233" s="99">
        <v>1</v>
      </c>
      <c r="G233" s="36">
        <f t="shared" si="21"/>
        <v>12</v>
      </c>
      <c r="H233" s="99">
        <f t="shared" si="15"/>
        <v>0</v>
      </c>
      <c r="I233" s="99">
        <f t="shared" si="13"/>
        <v>-6660000</v>
      </c>
      <c r="J233" s="99">
        <f t="shared" si="20"/>
        <v>0</v>
      </c>
      <c r="K233" s="99">
        <f t="shared" si="17"/>
        <v>-6660000</v>
      </c>
    </row>
    <row r="234" spans="1:13">
      <c r="A234" s="99" t="s">
        <v>4424</v>
      </c>
      <c r="B234" s="18">
        <v>-138360</v>
      </c>
      <c r="C234" s="18">
        <v>0</v>
      </c>
      <c r="D234" s="18">
        <f t="shared" si="18"/>
        <v>-138360</v>
      </c>
      <c r="E234" s="99" t="s">
        <v>4426</v>
      </c>
      <c r="F234" s="99">
        <v>1</v>
      </c>
      <c r="G234" s="36">
        <f t="shared" si="21"/>
        <v>11</v>
      </c>
      <c r="H234" s="99">
        <f t="shared" si="15"/>
        <v>0</v>
      </c>
      <c r="I234" s="99">
        <f t="shared" si="13"/>
        <v>-1521960</v>
      </c>
      <c r="J234" s="99">
        <f t="shared" si="20"/>
        <v>0</v>
      </c>
      <c r="K234" s="99">
        <f t="shared" si="17"/>
        <v>-1521960</v>
      </c>
    </row>
    <row r="235" spans="1:13">
      <c r="A235" s="99" t="s">
        <v>4427</v>
      </c>
      <c r="B235" s="18">
        <v>-3000900</v>
      </c>
      <c r="C235" s="18">
        <v>0</v>
      </c>
      <c r="D235" s="18">
        <f t="shared" si="18"/>
        <v>-3000900</v>
      </c>
      <c r="E235" s="99" t="s">
        <v>4409</v>
      </c>
      <c r="F235" s="99">
        <v>2</v>
      </c>
      <c r="G235" s="36">
        <f t="shared" si="21"/>
        <v>10</v>
      </c>
      <c r="H235" s="99">
        <f t="shared" si="15"/>
        <v>0</v>
      </c>
      <c r="I235" s="99">
        <f t="shared" si="13"/>
        <v>-30009000</v>
      </c>
      <c r="J235" s="99">
        <f t="shared" si="20"/>
        <v>0</v>
      </c>
      <c r="K235" s="99">
        <f t="shared" si="17"/>
        <v>-30009000</v>
      </c>
      <c r="M235" t="s">
        <v>25</v>
      </c>
    </row>
    <row r="236" spans="1:13">
      <c r="A236" s="99" t="s">
        <v>4434</v>
      </c>
      <c r="B236" s="18">
        <v>-55000</v>
      </c>
      <c r="C236" s="18">
        <v>0</v>
      </c>
      <c r="D236" s="18">
        <f t="shared" si="18"/>
        <v>-55000</v>
      </c>
      <c r="E236" s="99" t="s">
        <v>4162</v>
      </c>
      <c r="F236" s="99">
        <v>4</v>
      </c>
      <c r="G236" s="36">
        <f t="shared" si="21"/>
        <v>8</v>
      </c>
      <c r="H236" s="99">
        <f t="shared" si="15"/>
        <v>0</v>
      </c>
      <c r="I236" s="99">
        <f t="shared" si="13"/>
        <v>-440000</v>
      </c>
      <c r="J236" s="99">
        <f t="shared" si="20"/>
        <v>0</v>
      </c>
      <c r="K236" s="99">
        <f t="shared" si="17"/>
        <v>-440000</v>
      </c>
    </row>
    <row r="237" spans="1:13">
      <c r="A237" s="99" t="s">
        <v>4457</v>
      </c>
      <c r="B237" s="18">
        <v>6035000</v>
      </c>
      <c r="C237" s="18">
        <v>0</v>
      </c>
      <c r="D237" s="18">
        <f t="shared" si="18"/>
        <v>6035000</v>
      </c>
      <c r="E237" s="99" t="s">
        <v>3895</v>
      </c>
      <c r="F237" s="99">
        <v>2</v>
      </c>
      <c r="G237" s="36">
        <f t="shared" si="21"/>
        <v>4</v>
      </c>
      <c r="H237" s="99">
        <f t="shared" si="15"/>
        <v>1</v>
      </c>
      <c r="I237" s="99">
        <f t="shared" si="13"/>
        <v>18105000</v>
      </c>
      <c r="J237" s="99">
        <f t="shared" si="20"/>
        <v>0</v>
      </c>
      <c r="K237" s="99">
        <f t="shared" si="17"/>
        <v>18105000</v>
      </c>
    </row>
    <row r="238" spans="1:13">
      <c r="A238" s="99" t="s">
        <v>4464</v>
      </c>
      <c r="B238" s="18">
        <v>-7500</v>
      </c>
      <c r="C238" s="18">
        <v>0</v>
      </c>
      <c r="D238" s="18">
        <f t="shared" si="18"/>
        <v>-7500</v>
      </c>
      <c r="E238" s="99" t="s">
        <v>4465</v>
      </c>
      <c r="F238" s="99">
        <v>1</v>
      </c>
      <c r="G238" s="36">
        <f t="shared" si="21"/>
        <v>2</v>
      </c>
      <c r="H238" s="99">
        <f t="shared" si="15"/>
        <v>0</v>
      </c>
      <c r="I238" s="99">
        <f t="shared" si="13"/>
        <v>-15000</v>
      </c>
      <c r="J238" s="99">
        <f t="shared" si="20"/>
        <v>0</v>
      </c>
      <c r="K238" s="99">
        <f t="shared" si="17"/>
        <v>-15000</v>
      </c>
    </row>
    <row r="239" spans="1:13">
      <c r="A239" s="99" t="s">
        <v>4466</v>
      </c>
      <c r="B239" s="18">
        <v>-4098523</v>
      </c>
      <c r="C239" s="18">
        <v>0</v>
      </c>
      <c r="D239" s="18">
        <f t="shared" si="18"/>
        <v>-4098523</v>
      </c>
      <c r="E239" s="99" t="s">
        <v>4467</v>
      </c>
      <c r="F239" s="99">
        <v>0</v>
      </c>
      <c r="G239" s="36">
        <f t="shared" si="21"/>
        <v>1</v>
      </c>
      <c r="H239" s="99">
        <f t="shared" si="15"/>
        <v>0</v>
      </c>
      <c r="I239" s="99">
        <f t="shared" si="13"/>
        <v>-4098523</v>
      </c>
      <c r="J239" s="99">
        <f t="shared" si="20"/>
        <v>0</v>
      </c>
      <c r="K239" s="99">
        <f t="shared" si="17"/>
        <v>-4098523</v>
      </c>
    </row>
    <row r="240" spans="1:13">
      <c r="A240" s="99" t="s">
        <v>4468</v>
      </c>
      <c r="B240" s="18">
        <v>-33225</v>
      </c>
      <c r="C240" s="18">
        <v>0</v>
      </c>
      <c r="D240" s="18">
        <f t="shared" si="18"/>
        <v>-33225</v>
      </c>
      <c r="E240" s="99" t="s">
        <v>4276</v>
      </c>
      <c r="F240" s="99">
        <v>0</v>
      </c>
      <c r="G240" s="36">
        <f t="shared" si="21"/>
        <v>1</v>
      </c>
      <c r="H240" s="99">
        <f t="shared" si="15"/>
        <v>0</v>
      </c>
      <c r="I240" s="99">
        <f t="shared" si="13"/>
        <v>-33225</v>
      </c>
      <c r="J240" s="99">
        <f t="shared" si="20"/>
        <v>0</v>
      </c>
      <c r="K240" s="99">
        <f t="shared" si="17"/>
        <v>-33225</v>
      </c>
    </row>
    <row r="241" spans="1:13">
      <c r="A241" s="99" t="s">
        <v>4468</v>
      </c>
      <c r="B241" s="18">
        <v>-1895000</v>
      </c>
      <c r="C241" s="18">
        <v>0</v>
      </c>
      <c r="D241" s="18">
        <f t="shared" si="18"/>
        <v>-1895000</v>
      </c>
      <c r="E241" s="99" t="s">
        <v>3773</v>
      </c>
      <c r="F241" s="99">
        <v>1</v>
      </c>
      <c r="G241" s="36">
        <f t="shared" si="21"/>
        <v>1</v>
      </c>
      <c r="H241" s="99">
        <f t="shared" si="15"/>
        <v>0</v>
      </c>
      <c r="I241" s="99">
        <f t="shared" si="13"/>
        <v>-1895000</v>
      </c>
      <c r="J241" s="99">
        <f t="shared" si="20"/>
        <v>0</v>
      </c>
      <c r="K241" s="99">
        <f t="shared" si="17"/>
        <v>-1895000</v>
      </c>
    </row>
    <row r="242" spans="1:13">
      <c r="A242" s="99"/>
      <c r="B242" s="18"/>
      <c r="C242" s="18"/>
      <c r="D242" s="18">
        <f t="shared" si="18"/>
        <v>0</v>
      </c>
      <c r="E242" s="99"/>
      <c r="F242" s="99"/>
      <c r="G242" s="36">
        <f t="shared" si="21"/>
        <v>0</v>
      </c>
      <c r="H242" s="99">
        <f t="shared" si="15"/>
        <v>0</v>
      </c>
      <c r="I242" s="99">
        <f t="shared" si="13"/>
        <v>0</v>
      </c>
      <c r="J242" s="99">
        <f t="shared" si="20"/>
        <v>0</v>
      </c>
      <c r="K242" s="99">
        <f t="shared" si="17"/>
        <v>0</v>
      </c>
    </row>
    <row r="243" spans="1:13">
      <c r="A243" s="99"/>
      <c r="B243" s="18"/>
      <c r="C243" s="18"/>
      <c r="D243" s="18">
        <f t="shared" si="18"/>
        <v>0</v>
      </c>
      <c r="E243" s="99"/>
      <c r="F243" s="99"/>
      <c r="G243" s="36">
        <f t="shared" si="21"/>
        <v>0</v>
      </c>
      <c r="H243" s="99">
        <f t="shared" si="15"/>
        <v>0</v>
      </c>
      <c r="I243" s="99">
        <f t="shared" si="13"/>
        <v>0</v>
      </c>
      <c r="J243" s="99">
        <f t="shared" si="20"/>
        <v>0</v>
      </c>
      <c r="K243" s="99">
        <f t="shared" si="17"/>
        <v>0</v>
      </c>
    </row>
    <row r="244" spans="1:13">
      <c r="A244" s="99"/>
      <c r="B244" s="18"/>
      <c r="C244" s="18"/>
      <c r="D244" s="18">
        <f t="shared" si="18"/>
        <v>0</v>
      </c>
      <c r="E244" s="99"/>
      <c r="F244" s="99"/>
      <c r="G244" s="36">
        <f t="shared" si="21"/>
        <v>0</v>
      </c>
      <c r="H244" s="99">
        <f t="shared" si="15"/>
        <v>0</v>
      </c>
      <c r="I244" s="99">
        <f t="shared" si="13"/>
        <v>0</v>
      </c>
      <c r="J244" s="99">
        <f t="shared" si="20"/>
        <v>0</v>
      </c>
      <c r="K244" s="99">
        <f t="shared" si="17"/>
        <v>0</v>
      </c>
    </row>
    <row r="245" spans="1:13">
      <c r="A245" s="99"/>
      <c r="B245" s="18"/>
      <c r="C245" s="18"/>
      <c r="D245" s="18">
        <f t="shared" si="18"/>
        <v>0</v>
      </c>
      <c r="E245" s="99"/>
      <c r="F245" s="99"/>
      <c r="G245" s="36">
        <f t="shared" si="21"/>
        <v>0</v>
      </c>
      <c r="H245" s="99">
        <f t="shared" si="15"/>
        <v>0</v>
      </c>
      <c r="I245" s="99">
        <f t="shared" si="13"/>
        <v>0</v>
      </c>
      <c r="J245" s="99">
        <f t="shared" si="20"/>
        <v>0</v>
      </c>
      <c r="K245" s="99">
        <f t="shared" si="17"/>
        <v>0</v>
      </c>
    </row>
    <row r="246" spans="1:13">
      <c r="A246" s="99"/>
      <c r="B246" s="18"/>
      <c r="C246" s="18"/>
      <c r="D246" s="18">
        <f t="shared" si="18"/>
        <v>0</v>
      </c>
      <c r="E246" s="99"/>
      <c r="F246" s="99"/>
      <c r="G246" s="36">
        <f t="shared" si="21"/>
        <v>0</v>
      </c>
      <c r="H246" s="99">
        <f t="shared" si="15"/>
        <v>0</v>
      </c>
      <c r="I246" s="99">
        <f t="shared" si="13"/>
        <v>0</v>
      </c>
      <c r="J246" s="99">
        <f t="shared" si="20"/>
        <v>0</v>
      </c>
      <c r="K246" s="99">
        <f t="shared" si="17"/>
        <v>0</v>
      </c>
    </row>
    <row r="247" spans="1:13">
      <c r="A247" s="99"/>
      <c r="B247" s="18"/>
      <c r="C247" s="18"/>
      <c r="D247" s="18">
        <f t="shared" si="18"/>
        <v>0</v>
      </c>
      <c r="E247" s="99"/>
      <c r="F247" s="99"/>
      <c r="G247" s="36">
        <f t="shared" si="21"/>
        <v>0</v>
      </c>
      <c r="H247" s="99">
        <f t="shared" si="15"/>
        <v>0</v>
      </c>
      <c r="I247" s="99">
        <f t="shared" si="13"/>
        <v>0</v>
      </c>
      <c r="J247" s="99">
        <f t="shared" si="20"/>
        <v>0</v>
      </c>
      <c r="K247" s="99">
        <f t="shared" si="17"/>
        <v>0</v>
      </c>
    </row>
    <row r="248" spans="1:13">
      <c r="A248" s="99"/>
      <c r="B248" s="18"/>
      <c r="C248" s="18"/>
      <c r="D248" s="18">
        <f t="shared" si="18"/>
        <v>0</v>
      </c>
      <c r="E248" s="99"/>
      <c r="F248" s="99"/>
      <c r="G248" s="36">
        <f t="shared" si="21"/>
        <v>0</v>
      </c>
      <c r="H248" s="99">
        <f t="shared" si="15"/>
        <v>0</v>
      </c>
      <c r="I248" s="99">
        <f t="shared" si="13"/>
        <v>0</v>
      </c>
      <c r="J248" s="99">
        <f t="shared" si="20"/>
        <v>0</v>
      </c>
      <c r="K248" s="99">
        <f t="shared" si="17"/>
        <v>0</v>
      </c>
      <c r="M248" t="s">
        <v>25</v>
      </c>
    </row>
    <row r="249" spans="1:13">
      <c r="A249" s="99"/>
      <c r="B249" s="18"/>
      <c r="C249" s="18"/>
      <c r="D249" s="18">
        <f t="shared" si="18"/>
        <v>0</v>
      </c>
      <c r="E249" s="99"/>
      <c r="F249" s="99"/>
      <c r="G249" s="36">
        <f t="shared" si="21"/>
        <v>0</v>
      </c>
      <c r="H249" s="99">
        <f t="shared" si="15"/>
        <v>0</v>
      </c>
      <c r="I249" s="99">
        <f t="shared" si="13"/>
        <v>0</v>
      </c>
      <c r="J249" s="99">
        <f t="shared" si="20"/>
        <v>0</v>
      </c>
      <c r="K249" s="99">
        <f t="shared" si="17"/>
        <v>0</v>
      </c>
    </row>
    <row r="250" spans="1:13">
      <c r="A250" s="99"/>
      <c r="B250" s="18"/>
      <c r="C250" s="18"/>
      <c r="D250" s="18">
        <f t="shared" si="18"/>
        <v>0</v>
      </c>
      <c r="E250" s="99"/>
      <c r="F250" s="99"/>
      <c r="G250" s="36">
        <f t="shared" si="21"/>
        <v>0</v>
      </c>
      <c r="H250" s="99">
        <f t="shared" si="15"/>
        <v>0</v>
      </c>
      <c r="I250" s="99">
        <f t="shared" si="13"/>
        <v>0</v>
      </c>
      <c r="J250" s="99">
        <f t="shared" si="20"/>
        <v>0</v>
      </c>
      <c r="K250" s="99">
        <f t="shared" si="17"/>
        <v>0</v>
      </c>
    </row>
    <row r="251" spans="1:13">
      <c r="A251" s="99"/>
      <c r="B251" s="18"/>
      <c r="C251" s="18"/>
      <c r="D251" s="18">
        <f t="shared" si="18"/>
        <v>0</v>
      </c>
      <c r="E251" s="99"/>
      <c r="F251" s="99"/>
      <c r="G251" s="36">
        <f t="shared" si="21"/>
        <v>0</v>
      </c>
      <c r="H251" s="99">
        <f t="shared" si="15"/>
        <v>0</v>
      </c>
      <c r="I251" s="99">
        <f t="shared" si="13"/>
        <v>0</v>
      </c>
      <c r="J251" s="99">
        <f t="shared" si="20"/>
        <v>0</v>
      </c>
      <c r="K251" s="99">
        <f t="shared" si="17"/>
        <v>0</v>
      </c>
    </row>
    <row r="252" spans="1:13">
      <c r="A252" s="99"/>
      <c r="B252" s="18"/>
      <c r="C252" s="18"/>
      <c r="D252" s="18">
        <f t="shared" si="18"/>
        <v>0</v>
      </c>
      <c r="E252" s="99"/>
      <c r="F252" s="99"/>
      <c r="G252" s="36">
        <f t="shared" si="21"/>
        <v>0</v>
      </c>
      <c r="H252" s="99">
        <f t="shared" si="15"/>
        <v>0</v>
      </c>
      <c r="I252" s="99">
        <f t="shared" si="13"/>
        <v>0</v>
      </c>
      <c r="J252" s="99">
        <f t="shared" si="20"/>
        <v>0</v>
      </c>
      <c r="K252" s="99">
        <f t="shared" si="17"/>
        <v>0</v>
      </c>
    </row>
    <row r="253" spans="1:13">
      <c r="A253" s="99"/>
      <c r="B253" s="18"/>
      <c r="C253" s="18"/>
      <c r="D253" s="18">
        <f t="shared" si="18"/>
        <v>0</v>
      </c>
      <c r="E253" s="99"/>
      <c r="F253" s="99"/>
      <c r="G253" s="36">
        <f t="shared" si="21"/>
        <v>0</v>
      </c>
      <c r="H253" s="99">
        <f t="shared" si="15"/>
        <v>0</v>
      </c>
      <c r="I253" s="99">
        <f t="shared" si="13"/>
        <v>0</v>
      </c>
      <c r="J253" s="99">
        <f t="shared" si="20"/>
        <v>0</v>
      </c>
      <c r="K253" s="99">
        <f t="shared" si="17"/>
        <v>0</v>
      </c>
    </row>
    <row r="254" spans="1:13">
      <c r="A254" s="99"/>
      <c r="B254" s="18"/>
      <c r="C254" s="18"/>
      <c r="D254" s="18">
        <f t="shared" si="18"/>
        <v>0</v>
      </c>
      <c r="E254" s="99"/>
      <c r="F254" s="99"/>
      <c r="G254" s="36">
        <f t="shared" si="21"/>
        <v>0</v>
      </c>
      <c r="H254" s="99">
        <f t="shared" si="15"/>
        <v>0</v>
      </c>
      <c r="I254" s="99">
        <f t="shared" si="13"/>
        <v>0</v>
      </c>
      <c r="J254" s="99">
        <f t="shared" si="20"/>
        <v>0</v>
      </c>
      <c r="K254" s="99">
        <f t="shared" si="17"/>
        <v>0</v>
      </c>
    </row>
    <row r="255" spans="1:13">
      <c r="A255" s="99"/>
      <c r="B255" s="18"/>
      <c r="C255" s="18"/>
      <c r="D255" s="18">
        <f t="shared" si="18"/>
        <v>0</v>
      </c>
      <c r="E255" s="99"/>
      <c r="F255" s="99"/>
      <c r="G255" s="36">
        <f t="shared" si="21"/>
        <v>0</v>
      </c>
      <c r="H255" s="99">
        <f t="shared" si="15"/>
        <v>0</v>
      </c>
      <c r="I255" s="99">
        <f t="shared" si="13"/>
        <v>0</v>
      </c>
      <c r="J255" s="99">
        <f t="shared" si="20"/>
        <v>0</v>
      </c>
      <c r="K255" s="99">
        <f t="shared" si="17"/>
        <v>0</v>
      </c>
    </row>
    <row r="256" spans="1:13">
      <c r="A256" s="99"/>
      <c r="B256" s="18"/>
      <c r="C256" s="18"/>
      <c r="D256" s="18">
        <f t="shared" si="18"/>
        <v>0</v>
      </c>
      <c r="E256" s="99"/>
      <c r="F256" s="99"/>
      <c r="G256" s="36">
        <f t="shared" si="21"/>
        <v>0</v>
      </c>
      <c r="H256" s="99">
        <f t="shared" si="15"/>
        <v>0</v>
      </c>
      <c r="I256" s="99">
        <f t="shared" si="13"/>
        <v>0</v>
      </c>
      <c r="J256" s="99">
        <f t="shared" si="20"/>
        <v>0</v>
      </c>
      <c r="K256" s="99">
        <f t="shared" si="17"/>
        <v>0</v>
      </c>
    </row>
    <row r="257" spans="1:11">
      <c r="A257" s="99"/>
      <c r="B257" s="18"/>
      <c r="C257" s="18"/>
      <c r="D257" s="18">
        <f t="shared" si="18"/>
        <v>0</v>
      </c>
      <c r="E257" s="99"/>
      <c r="F257" s="99"/>
      <c r="G257" s="36">
        <f t="shared" si="21"/>
        <v>0</v>
      </c>
      <c r="H257" s="99">
        <f t="shared" si="15"/>
        <v>0</v>
      </c>
      <c r="I257" s="99">
        <f t="shared" si="13"/>
        <v>0</v>
      </c>
      <c r="J257" s="99">
        <f t="shared" si="20"/>
        <v>0</v>
      </c>
      <c r="K257" s="99">
        <f t="shared" si="17"/>
        <v>0</v>
      </c>
    </row>
    <row r="258" spans="1:11">
      <c r="A258" s="99"/>
      <c r="B258" s="18"/>
      <c r="C258" s="18"/>
      <c r="D258" s="18">
        <f t="shared" si="18"/>
        <v>0</v>
      </c>
      <c r="E258" s="99"/>
      <c r="F258" s="99"/>
      <c r="G258" s="36">
        <f t="shared" si="21"/>
        <v>0</v>
      </c>
      <c r="H258" s="99">
        <f t="shared" si="15"/>
        <v>0</v>
      </c>
      <c r="I258" s="99">
        <f t="shared" si="13"/>
        <v>0</v>
      </c>
      <c r="J258" s="99">
        <f t="shared" si="20"/>
        <v>0</v>
      </c>
      <c r="K258" s="99">
        <f t="shared" si="17"/>
        <v>0</v>
      </c>
    </row>
    <row r="259" spans="1:11">
      <c r="A259" s="99"/>
      <c r="B259" s="18"/>
      <c r="C259" s="18"/>
      <c r="D259" s="18">
        <f t="shared" si="18"/>
        <v>0</v>
      </c>
      <c r="E259" s="99"/>
      <c r="F259" s="99"/>
      <c r="G259" s="36">
        <f t="shared" si="21"/>
        <v>0</v>
      </c>
      <c r="H259" s="99">
        <f t="shared" si="15"/>
        <v>0</v>
      </c>
      <c r="I259" s="99">
        <f t="shared" si="13"/>
        <v>0</v>
      </c>
      <c r="J259" s="99">
        <f t="shared" si="20"/>
        <v>0</v>
      </c>
      <c r="K259" s="99">
        <f t="shared" si="17"/>
        <v>0</v>
      </c>
    </row>
    <row r="260" spans="1:11">
      <c r="A260" s="99"/>
      <c r="B260" s="18"/>
      <c r="C260" s="18"/>
      <c r="D260" s="18">
        <f t="shared" si="18"/>
        <v>0</v>
      </c>
      <c r="E260" s="99"/>
      <c r="F260" s="99"/>
      <c r="G260" s="36">
        <f t="shared" si="21"/>
        <v>0</v>
      </c>
      <c r="H260" s="99">
        <f t="shared" si="15"/>
        <v>0</v>
      </c>
      <c r="I260" s="99">
        <f t="shared" si="13"/>
        <v>0</v>
      </c>
      <c r="J260" s="99">
        <f t="shared" si="20"/>
        <v>0</v>
      </c>
      <c r="K260" s="99">
        <f t="shared" si="17"/>
        <v>0</v>
      </c>
    </row>
    <row r="261" spans="1:11">
      <c r="A261" s="99" t="s">
        <v>25</v>
      </c>
      <c r="B261" s="18"/>
      <c r="C261" s="18"/>
      <c r="D261" s="18">
        <f t="shared" si="18"/>
        <v>0</v>
      </c>
      <c r="E261" s="99"/>
      <c r="F261" s="99"/>
      <c r="G261" s="36">
        <f t="shared" si="21"/>
        <v>0</v>
      </c>
      <c r="H261" s="99">
        <f t="shared" si="15"/>
        <v>0</v>
      </c>
      <c r="I261" s="99">
        <f t="shared" si="13"/>
        <v>0</v>
      </c>
      <c r="J261" s="99">
        <f t="shared" si="20"/>
        <v>0</v>
      </c>
      <c r="K261" s="99">
        <f t="shared" si="17"/>
        <v>0</v>
      </c>
    </row>
    <row r="262" spans="1:11">
      <c r="A262" s="99"/>
      <c r="B262" s="18"/>
      <c r="C262" s="18"/>
      <c r="D262" s="18">
        <f t="shared" si="18"/>
        <v>0</v>
      </c>
      <c r="E262" s="99"/>
      <c r="F262" s="99"/>
      <c r="G262" s="36">
        <f t="shared" si="21"/>
        <v>0</v>
      </c>
      <c r="H262" s="99">
        <f t="shared" si="15"/>
        <v>0</v>
      </c>
      <c r="I262" s="99">
        <f t="shared" si="13"/>
        <v>0</v>
      </c>
      <c r="J262" s="99">
        <f t="shared" si="20"/>
        <v>0</v>
      </c>
      <c r="K262" s="99">
        <f t="shared" si="17"/>
        <v>0</v>
      </c>
    </row>
    <row r="263" spans="1:11">
      <c r="A263" s="99"/>
      <c r="B263" s="18"/>
      <c r="C263" s="18"/>
      <c r="D263" s="18">
        <f t="shared" si="18"/>
        <v>0</v>
      </c>
      <c r="E263" s="99"/>
      <c r="F263" s="99"/>
      <c r="G263" s="36">
        <f t="shared" si="21"/>
        <v>0</v>
      </c>
      <c r="H263" s="99">
        <f t="shared" si="15"/>
        <v>0</v>
      </c>
      <c r="I263" s="99">
        <f t="shared" si="13"/>
        <v>0</v>
      </c>
      <c r="J263" s="99">
        <f t="shared" si="20"/>
        <v>0</v>
      </c>
      <c r="K263" s="99">
        <f t="shared" si="17"/>
        <v>0</v>
      </c>
    </row>
    <row r="264" spans="1:11">
      <c r="A264" s="99"/>
      <c r="B264" s="18"/>
      <c r="C264" s="18"/>
      <c r="D264" s="18">
        <f t="shared" si="18"/>
        <v>0</v>
      </c>
      <c r="E264" s="99"/>
      <c r="F264" s="99"/>
      <c r="G264" s="36">
        <f t="shared" si="21"/>
        <v>0</v>
      </c>
      <c r="H264" s="99">
        <f t="shared" si="15"/>
        <v>0</v>
      </c>
      <c r="I264" s="99">
        <f t="shared" si="13"/>
        <v>0</v>
      </c>
      <c r="J264" s="99">
        <f t="shared" si="20"/>
        <v>0</v>
      </c>
      <c r="K264" s="99">
        <f t="shared" si="17"/>
        <v>0</v>
      </c>
    </row>
    <row r="265" spans="1:11">
      <c r="A265" s="99"/>
      <c r="B265" s="18"/>
      <c r="C265" s="18"/>
      <c r="D265" s="18">
        <f t="shared" si="18"/>
        <v>0</v>
      </c>
      <c r="E265" s="99"/>
      <c r="F265" s="99"/>
      <c r="G265" s="36">
        <f t="shared" si="21"/>
        <v>0</v>
      </c>
      <c r="H265" s="99">
        <f t="shared" si="15"/>
        <v>0</v>
      </c>
      <c r="I265" s="99">
        <f t="shared" si="13"/>
        <v>0</v>
      </c>
      <c r="J265" s="99">
        <f t="shared" si="20"/>
        <v>0</v>
      </c>
      <c r="K265" s="99">
        <f t="shared" si="17"/>
        <v>0</v>
      </c>
    </row>
    <row r="266" spans="1:11">
      <c r="A266" s="11"/>
      <c r="B266" s="18"/>
      <c r="C266" s="18"/>
      <c r="D266" s="18">
        <f t="shared" si="18"/>
        <v>0</v>
      </c>
      <c r="E266" s="11"/>
      <c r="F266" s="11">
        <v>0</v>
      </c>
      <c r="G266" s="36">
        <f t="shared" si="19"/>
        <v>0</v>
      </c>
      <c r="H266" s="99">
        <f t="shared" si="15"/>
        <v>0</v>
      </c>
      <c r="I266" s="99">
        <f t="shared" si="13"/>
        <v>0</v>
      </c>
      <c r="J266" s="99">
        <f t="shared" si="20"/>
        <v>0</v>
      </c>
      <c r="K266" s="99">
        <f t="shared" si="17"/>
        <v>0</v>
      </c>
    </row>
    <row r="267" spans="1:11">
      <c r="A267" s="11"/>
      <c r="B267" s="29">
        <f>SUM(B2:B266)</f>
        <v>7770</v>
      </c>
      <c r="C267" s="29">
        <f>SUM(C2:C256)</f>
        <v>7968789</v>
      </c>
      <c r="D267" s="29">
        <f>SUM(D2:D254)</f>
        <v>-7961019</v>
      </c>
      <c r="E267" s="11"/>
      <c r="F267" s="11"/>
      <c r="G267" s="11"/>
      <c r="H267" s="11"/>
      <c r="I267" s="29">
        <f>SUM(I2:I266)</f>
        <v>18807500471</v>
      </c>
      <c r="J267" s="29">
        <f>SUM(J2:J266)</f>
        <v>8512372071</v>
      </c>
      <c r="K267" s="29">
        <f>SUM(K2:K266)</f>
        <v>10295128400</v>
      </c>
    </row>
    <row r="268" spans="1:11">
      <c r="A268" s="11"/>
      <c r="B268" s="11" t="s">
        <v>283</v>
      </c>
      <c r="C268" s="11" t="s">
        <v>488</v>
      </c>
      <c r="D268" s="11" t="s">
        <v>489</v>
      </c>
      <c r="E268" s="11"/>
      <c r="F268" s="11"/>
      <c r="G268" s="11"/>
      <c r="H268" s="11"/>
      <c r="I268" s="11" t="s">
        <v>485</v>
      </c>
      <c r="J268" s="11" t="s">
        <v>486</v>
      </c>
      <c r="K268" s="11" t="s">
        <v>487</v>
      </c>
    </row>
    <row r="269" spans="1:1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>
      <c r="A270" s="11"/>
      <c r="B270" s="11"/>
      <c r="C270" s="11"/>
      <c r="D270" s="11"/>
      <c r="E270" s="11"/>
      <c r="F270" s="11"/>
      <c r="G270" s="11"/>
      <c r="H270" s="11"/>
      <c r="I270" s="3">
        <f>I267/G2</f>
        <v>19755777.805672269</v>
      </c>
      <c r="J270" s="29">
        <f>J267/G2</f>
        <v>8941567.3014705889</v>
      </c>
      <c r="K270" s="29">
        <f>K267/G2</f>
        <v>10814210.50420168</v>
      </c>
    </row>
    <row r="271" spans="1:11">
      <c r="A271" s="11"/>
      <c r="B271" s="11"/>
      <c r="C271" s="11"/>
      <c r="D271" s="11"/>
      <c r="E271" s="11"/>
      <c r="F271" s="11"/>
      <c r="G271" s="11"/>
      <c r="H271" s="11"/>
      <c r="I271" s="11" t="s">
        <v>491</v>
      </c>
      <c r="J271" s="11" t="s">
        <v>492</v>
      </c>
      <c r="K271" s="11" t="s">
        <v>493</v>
      </c>
    </row>
    <row r="274" spans="2:11" ht="30">
      <c r="B274" s="22" t="s">
        <v>854</v>
      </c>
      <c r="D274" s="98">
        <f>D267-D151+D152</f>
        <v>-6764380</v>
      </c>
      <c r="G274" t="s">
        <v>25</v>
      </c>
      <c r="J274">
        <f>J267/I267*1448696</f>
        <v>655687.3088364054</v>
      </c>
      <c r="K274">
        <f>K267/I267*1448696</f>
        <v>793008.6911635946</v>
      </c>
    </row>
    <row r="275" spans="2:11">
      <c r="B275" s="7"/>
    </row>
    <row r="276" spans="2:11">
      <c r="B276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935</v>
      </c>
      <c r="B5" s="18">
        <v>-27000000</v>
      </c>
      <c r="C5" s="18">
        <v>0</v>
      </c>
      <c r="D5" s="3">
        <f t="shared" si="0"/>
        <v>-27000000</v>
      </c>
      <c r="E5" s="20" t="s">
        <v>1011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1035</v>
      </c>
      <c r="B6" s="18">
        <v>252436</v>
      </c>
      <c r="C6" s="18">
        <v>65510</v>
      </c>
      <c r="D6" s="3">
        <f t="shared" si="0"/>
        <v>186926</v>
      </c>
      <c r="E6" s="19" t="s">
        <v>1037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1009</v>
      </c>
      <c r="P34" t="s">
        <v>60</v>
      </c>
      <c r="Q34" t="s">
        <v>61</v>
      </c>
    </row>
    <row r="35" spans="4:17">
      <c r="D35" s="42">
        <v>200000</v>
      </c>
      <c r="E35" s="41" t="s">
        <v>1027</v>
      </c>
    </row>
    <row r="36" spans="4:17">
      <c r="D36" s="42">
        <v>245000</v>
      </c>
      <c r="E36" s="41" t="s">
        <v>1027</v>
      </c>
    </row>
    <row r="37" spans="4:17">
      <c r="D37" s="7">
        <v>-25000</v>
      </c>
      <c r="E37" s="41" t="s">
        <v>1031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1035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1074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1075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1079</v>
      </c>
      <c r="B4" s="18">
        <v>-52000000</v>
      </c>
      <c r="C4" s="18">
        <v>0</v>
      </c>
      <c r="D4" s="3">
        <f t="shared" si="0"/>
        <v>-52000000</v>
      </c>
      <c r="E4" s="11" t="s">
        <v>1082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1121</v>
      </c>
      <c r="B5" s="18">
        <v>-8000000</v>
      </c>
      <c r="C5" s="18">
        <v>-6772131</v>
      </c>
      <c r="D5" s="3">
        <f t="shared" si="0"/>
        <v>-1227869</v>
      </c>
      <c r="E5" s="20" t="s">
        <v>1011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1121</v>
      </c>
      <c r="B6" s="18">
        <v>-31230</v>
      </c>
      <c r="C6" s="18">
        <v>0</v>
      </c>
      <c r="D6" s="3">
        <f t="shared" si="0"/>
        <v>-31230</v>
      </c>
      <c r="E6" s="19" t="s">
        <v>1122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1148</v>
      </c>
      <c r="B7" s="39">
        <v>135087</v>
      </c>
      <c r="C7" s="39">
        <v>41130</v>
      </c>
      <c r="D7" s="35">
        <f t="shared" si="0"/>
        <v>93957</v>
      </c>
      <c r="E7" s="5" t="s">
        <v>1157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1077</v>
      </c>
      <c r="G31" s="9" t="s">
        <v>1038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1053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1076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1101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1129</v>
      </c>
      <c r="P35" t="s">
        <v>60</v>
      </c>
      <c r="Q35" t="s">
        <v>61</v>
      </c>
    </row>
    <row r="36" spans="4:17">
      <c r="D36" s="42">
        <v>79552</v>
      </c>
      <c r="E36" s="41" t="s">
        <v>1130</v>
      </c>
    </row>
    <row r="37" spans="4:17">
      <c r="D37" s="7">
        <v>-65500</v>
      </c>
      <c r="E37" s="41" t="s">
        <v>1132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1148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1159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1075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1178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1178</v>
      </c>
      <c r="B5" s="18">
        <v>-247840</v>
      </c>
      <c r="C5" s="18">
        <v>0</v>
      </c>
      <c r="D5" s="113">
        <f t="shared" si="0"/>
        <v>-247840</v>
      </c>
      <c r="E5" s="20" t="s">
        <v>1181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1184</v>
      </c>
      <c r="B6" s="18">
        <v>-162340</v>
      </c>
      <c r="C6" s="18">
        <v>0</v>
      </c>
      <c r="D6" s="113">
        <f t="shared" si="0"/>
        <v>-162340</v>
      </c>
      <c r="E6" s="19" t="s">
        <v>1187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1184</v>
      </c>
      <c r="B7" s="18">
        <v>-3000900</v>
      </c>
      <c r="C7" s="18">
        <v>0</v>
      </c>
      <c r="D7" s="113">
        <f t="shared" si="0"/>
        <v>-3000900</v>
      </c>
      <c r="E7" s="19" t="s">
        <v>1188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1200</v>
      </c>
      <c r="B8" s="18">
        <v>-1000500</v>
      </c>
      <c r="C8" s="18">
        <v>0</v>
      </c>
      <c r="D8" s="113">
        <f t="shared" si="0"/>
        <v>-1000500</v>
      </c>
      <c r="E8" s="19" t="s">
        <v>1202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1212</v>
      </c>
      <c r="B9" s="18">
        <v>-100000</v>
      </c>
      <c r="C9" s="18">
        <v>0</v>
      </c>
      <c r="D9" s="113">
        <f t="shared" si="0"/>
        <v>-100000</v>
      </c>
      <c r="E9" s="21" t="s">
        <v>1213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1216</v>
      </c>
      <c r="B10" s="18">
        <v>-2000000</v>
      </c>
      <c r="C10" s="18">
        <v>0</v>
      </c>
      <c r="D10" s="113">
        <f t="shared" si="0"/>
        <v>-2000000</v>
      </c>
      <c r="E10" s="19" t="s">
        <v>1110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1216</v>
      </c>
      <c r="B11" s="18">
        <v>-1000500</v>
      </c>
      <c r="C11" s="18">
        <v>0</v>
      </c>
      <c r="D11" s="113">
        <f t="shared" si="0"/>
        <v>-1000500</v>
      </c>
      <c r="E11" s="19" t="s">
        <v>1223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1226</v>
      </c>
      <c r="B12" s="18">
        <v>-5000</v>
      </c>
      <c r="C12" s="18">
        <v>0</v>
      </c>
      <c r="D12" s="113">
        <f t="shared" si="0"/>
        <v>-5000</v>
      </c>
      <c r="E12" s="20" t="s">
        <v>1213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3669</v>
      </c>
      <c r="B13" s="18">
        <v>3000000</v>
      </c>
      <c r="C13" s="18">
        <v>0</v>
      </c>
      <c r="D13" s="113">
        <f t="shared" si="0"/>
        <v>3000000</v>
      </c>
      <c r="E13" s="20" t="s">
        <v>3672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3673</v>
      </c>
      <c r="B14" s="18">
        <v>3000000</v>
      </c>
      <c r="C14" s="18">
        <v>0</v>
      </c>
      <c r="D14" s="113">
        <f t="shared" si="0"/>
        <v>3000000</v>
      </c>
      <c r="E14" s="20" t="s">
        <v>3672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3675</v>
      </c>
      <c r="B15" s="39">
        <v>20314</v>
      </c>
      <c r="C15" s="39">
        <v>59842</v>
      </c>
      <c r="D15" s="35">
        <f t="shared" si="0"/>
        <v>-39528</v>
      </c>
      <c r="E15" s="23" t="s">
        <v>3678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1153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1162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1179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1182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1204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1211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1222</v>
      </c>
    </row>
    <row r="51" spans="1:18">
      <c r="D51" s="114">
        <v>1000000</v>
      </c>
      <c r="E51" s="41" t="s">
        <v>1224</v>
      </c>
    </row>
    <row r="52" spans="1:18">
      <c r="D52" s="114">
        <v>910500</v>
      </c>
      <c r="E52" s="41" t="s">
        <v>1231</v>
      </c>
    </row>
    <row r="53" spans="1:18">
      <c r="D53" s="114">
        <v>-300000</v>
      </c>
      <c r="E53" s="41" t="s">
        <v>1234</v>
      </c>
    </row>
    <row r="54" spans="1:18">
      <c r="D54" s="114">
        <v>-58500</v>
      </c>
      <c r="E54" s="41" t="s">
        <v>1235</v>
      </c>
    </row>
    <row r="55" spans="1:18">
      <c r="D55" s="114">
        <v>-1500000</v>
      </c>
      <c r="E55" s="41" t="s">
        <v>1238</v>
      </c>
    </row>
    <row r="56" spans="1:18">
      <c r="D56" s="114">
        <v>-61000</v>
      </c>
      <c r="E56" s="41" t="s">
        <v>1242</v>
      </c>
    </row>
    <row r="57" spans="1:18">
      <c r="D57" s="114">
        <v>1000000</v>
      </c>
      <c r="E57" s="41" t="s">
        <v>3661</v>
      </c>
    </row>
    <row r="58" spans="1:18">
      <c r="D58" s="114">
        <v>200000</v>
      </c>
      <c r="E58" s="41" t="s">
        <v>3671</v>
      </c>
    </row>
    <row r="59" spans="1:18">
      <c r="D59" s="114">
        <v>3000000</v>
      </c>
      <c r="E59" s="41" t="s">
        <v>3676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3675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3698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3699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3775</v>
      </c>
      <c r="B4" s="18">
        <v>-3000900</v>
      </c>
      <c r="C4" s="18">
        <v>0</v>
      </c>
      <c r="D4" s="113">
        <f t="shared" si="0"/>
        <v>-3000900</v>
      </c>
      <c r="E4" s="99" t="s">
        <v>3777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3795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1184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1184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1200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1212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1216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3701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3714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3710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3710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3766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3794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3799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3800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3801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3810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3795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3930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3895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3935</v>
      </c>
      <c r="B4" s="18">
        <v>-5000000</v>
      </c>
      <c r="C4" s="18">
        <v>0</v>
      </c>
      <c r="D4" s="113">
        <f t="shared" si="0"/>
        <v>-5000000</v>
      </c>
      <c r="E4" s="99" t="s">
        <v>3936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3959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1184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1184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1200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1212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1216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3883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3887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3891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3900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3901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3902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3911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3912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3914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3925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3929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3932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3934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3943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3951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3952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3953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3671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3795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3984</v>
      </c>
      <c r="B3" s="18">
        <v>785000</v>
      </c>
      <c r="C3" s="18">
        <v>0</v>
      </c>
      <c r="D3" s="117">
        <f t="shared" ref="D3:D22" si="0">B3-C3</f>
        <v>785000</v>
      </c>
      <c r="E3" s="20" t="s">
        <v>1028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3984</v>
      </c>
      <c r="B4" s="18">
        <v>-32000</v>
      </c>
      <c r="C4" s="18">
        <v>0</v>
      </c>
      <c r="D4" s="113">
        <f t="shared" si="0"/>
        <v>-32000</v>
      </c>
      <c r="E4" s="99" t="s">
        <v>3967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3986</v>
      </c>
      <c r="B5" s="18">
        <v>-750000</v>
      </c>
      <c r="C5" s="18">
        <v>0</v>
      </c>
      <c r="D5" s="113">
        <f t="shared" si="0"/>
        <v>-750000</v>
      </c>
      <c r="E5" s="20" t="s">
        <v>3773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4018</v>
      </c>
      <c r="B6" s="18">
        <v>-9396</v>
      </c>
      <c r="C6" s="18">
        <v>0</v>
      </c>
      <c r="D6" s="113">
        <f t="shared" si="0"/>
        <v>-9396</v>
      </c>
      <c r="E6" s="19" t="s">
        <v>4021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4022</v>
      </c>
      <c r="B7" s="18">
        <v>-43300</v>
      </c>
      <c r="C7" s="18">
        <v>0</v>
      </c>
      <c r="D7" s="113">
        <f t="shared" si="0"/>
        <v>-43300</v>
      </c>
      <c r="E7" s="19" t="s">
        <v>4021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3690</v>
      </c>
      <c r="B8" s="18">
        <v>360000</v>
      </c>
      <c r="C8" s="18">
        <v>0</v>
      </c>
      <c r="D8" s="113">
        <f t="shared" si="0"/>
        <v>360000</v>
      </c>
      <c r="E8" s="19" t="s">
        <v>4035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4039</v>
      </c>
      <c r="B9" s="18">
        <v>3000000</v>
      </c>
      <c r="C9" s="18">
        <v>0</v>
      </c>
      <c r="D9" s="113">
        <f t="shared" si="0"/>
        <v>3000000</v>
      </c>
      <c r="E9" s="21" t="s">
        <v>4038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4037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3966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3967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3970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3971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3973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3980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3981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3990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3991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3992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3993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3995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4000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4001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4003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4005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4012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4013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4020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4025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4041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4045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4042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4044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4050</v>
      </c>
      <c r="B4" s="18">
        <v>-35800</v>
      </c>
      <c r="C4" s="18">
        <v>0</v>
      </c>
      <c r="D4" s="113">
        <f t="shared" si="0"/>
        <v>-35800</v>
      </c>
      <c r="E4" s="99" t="s">
        <v>3967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4049</v>
      </c>
      <c r="B5" s="18">
        <v>3600000</v>
      </c>
      <c r="C5" s="18">
        <v>0</v>
      </c>
      <c r="D5" s="113">
        <f t="shared" si="0"/>
        <v>3600000</v>
      </c>
      <c r="E5" s="20" t="s">
        <v>3895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4049</v>
      </c>
      <c r="B6" s="18">
        <v>-33377</v>
      </c>
      <c r="C6" s="18">
        <v>0</v>
      </c>
      <c r="D6" s="113">
        <f t="shared" si="0"/>
        <v>-33377</v>
      </c>
      <c r="E6" s="19" t="s">
        <v>4053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4072</v>
      </c>
      <c r="B7" s="18">
        <v>-9800000</v>
      </c>
      <c r="C7" s="18">
        <v>0</v>
      </c>
      <c r="D7" s="113">
        <f t="shared" si="0"/>
        <v>-9800000</v>
      </c>
      <c r="E7" s="19" t="s">
        <v>1220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4072</v>
      </c>
      <c r="B8" s="18">
        <v>18000000</v>
      </c>
      <c r="C8" s="18">
        <v>0</v>
      </c>
      <c r="D8" s="113">
        <f t="shared" si="0"/>
        <v>18000000</v>
      </c>
      <c r="E8" s="19" t="s">
        <v>4073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4072</v>
      </c>
      <c r="B9" s="18">
        <v>-9000000</v>
      </c>
      <c r="C9" s="18">
        <v>0</v>
      </c>
      <c r="D9" s="113">
        <f t="shared" si="0"/>
        <v>-9000000</v>
      </c>
      <c r="E9" s="21" t="s">
        <v>1220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4072</v>
      </c>
      <c r="B10" s="18">
        <v>-11600</v>
      </c>
      <c r="C10" s="18">
        <v>0</v>
      </c>
      <c r="D10" s="113">
        <f t="shared" si="0"/>
        <v>-11600</v>
      </c>
      <c r="E10" s="19" t="s">
        <v>4076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4072</v>
      </c>
      <c r="B11" s="18">
        <v>-3304327</v>
      </c>
      <c r="C11" s="18">
        <v>0</v>
      </c>
      <c r="D11" s="113">
        <f t="shared" si="0"/>
        <v>-3304327</v>
      </c>
      <c r="E11" s="19" t="s">
        <v>4077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4081</v>
      </c>
      <c r="B12" s="18">
        <v>-3000900</v>
      </c>
      <c r="C12" s="18">
        <v>0</v>
      </c>
      <c r="D12" s="113">
        <f t="shared" si="0"/>
        <v>-3000900</v>
      </c>
      <c r="E12" s="20" t="s">
        <v>4082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4086</v>
      </c>
      <c r="B13" s="18">
        <v>-2760900</v>
      </c>
      <c r="C13" s="18">
        <v>0</v>
      </c>
      <c r="D13" s="113">
        <f t="shared" si="0"/>
        <v>-2760900</v>
      </c>
      <c r="E13" s="20" t="s">
        <v>4087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4100</v>
      </c>
      <c r="B14" s="18">
        <v>1000000</v>
      </c>
      <c r="C14" s="18">
        <v>0</v>
      </c>
      <c r="D14" s="113">
        <f t="shared" si="0"/>
        <v>1000000</v>
      </c>
      <c r="E14" s="20" t="s">
        <v>4079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4116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4112</v>
      </c>
      <c r="B16" s="18">
        <v>-990000</v>
      </c>
      <c r="C16" s="18">
        <v>0</v>
      </c>
      <c r="D16" s="113">
        <f t="shared" si="0"/>
        <v>-990000</v>
      </c>
      <c r="E16" s="20" t="s">
        <v>3773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4112</v>
      </c>
      <c r="B17" s="18">
        <v>783000</v>
      </c>
      <c r="C17" s="18">
        <v>0</v>
      </c>
      <c r="D17" s="113">
        <f t="shared" si="0"/>
        <v>783000</v>
      </c>
      <c r="E17" s="20" t="s">
        <v>4120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4124</v>
      </c>
      <c r="B18" s="18">
        <v>-750500</v>
      </c>
      <c r="C18" s="18">
        <v>0</v>
      </c>
      <c r="D18" s="113">
        <f t="shared" si="0"/>
        <v>-750500</v>
      </c>
      <c r="E18" s="20" t="s">
        <v>4125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4137</v>
      </c>
      <c r="B19" s="18">
        <v>700000</v>
      </c>
      <c r="C19" s="18">
        <v>0</v>
      </c>
      <c r="D19" s="113">
        <f t="shared" si="0"/>
        <v>700000</v>
      </c>
      <c r="E19" s="20" t="s">
        <v>3895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4137</v>
      </c>
      <c r="B20" s="18">
        <v>-99000</v>
      </c>
      <c r="C20" s="18">
        <v>0</v>
      </c>
      <c r="D20" s="113">
        <f t="shared" si="0"/>
        <v>-99000</v>
      </c>
      <c r="E20" s="19" t="s">
        <v>4139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4140</v>
      </c>
      <c r="B21" s="18">
        <v>-205750</v>
      </c>
      <c r="C21" s="18">
        <v>0</v>
      </c>
      <c r="D21" s="113">
        <f t="shared" si="0"/>
        <v>-205750</v>
      </c>
      <c r="E21" s="19" t="s">
        <v>4141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4140</v>
      </c>
      <c r="B22" s="18">
        <v>-95000</v>
      </c>
      <c r="C22" s="18">
        <v>0</v>
      </c>
      <c r="D22" s="113">
        <f t="shared" si="0"/>
        <v>-95000</v>
      </c>
      <c r="E22" s="19" t="s">
        <v>4142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4160</v>
      </c>
      <c r="B23" s="18">
        <v>48650000</v>
      </c>
      <c r="C23" s="18">
        <v>0</v>
      </c>
      <c r="D23" s="113">
        <f t="shared" si="0"/>
        <v>48650000</v>
      </c>
      <c r="E23" s="19" t="s">
        <v>4161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4160</v>
      </c>
      <c r="B24" s="18">
        <v>-3005900</v>
      </c>
      <c r="C24" s="18">
        <v>0</v>
      </c>
      <c r="D24" s="113">
        <f t="shared" si="0"/>
        <v>-3005900</v>
      </c>
      <c r="E24" s="19" t="s">
        <v>4163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4165</v>
      </c>
      <c r="B25" s="18">
        <v>-33500000</v>
      </c>
      <c r="C25" s="18">
        <v>0</v>
      </c>
      <c r="D25" s="113">
        <f t="shared" si="0"/>
        <v>-33500000</v>
      </c>
      <c r="E25" s="19" t="s">
        <v>3773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4165</v>
      </c>
      <c r="B26" s="18">
        <v>-12435000</v>
      </c>
      <c r="C26" s="18">
        <v>0</v>
      </c>
      <c r="D26" s="113">
        <f t="shared" si="0"/>
        <v>-12435000</v>
      </c>
      <c r="E26" s="19" t="s">
        <v>3773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4178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4179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4175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4046</v>
      </c>
      <c r="F36" s="96"/>
      <c r="G36" s="9" t="s">
        <v>1038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4054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4071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4080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4090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4099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4101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4102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4113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4113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4122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4123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4131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4126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4127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4128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4132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4130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4133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4134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4135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4136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4138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4139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4150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4151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4153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4154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4155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4164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4167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4168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4169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4170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4172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4176</v>
      </c>
      <c r="F82" s="96"/>
      <c r="G82" s="96"/>
      <c r="H82" s="96"/>
      <c r="I82" s="96"/>
    </row>
    <row r="83" spans="1:9">
      <c r="D83" s="114">
        <v>-150000</v>
      </c>
      <c r="E83" s="41" t="s">
        <v>4177</v>
      </c>
    </row>
    <row r="84" spans="1:9">
      <c r="D84" s="114">
        <v>-150000</v>
      </c>
      <c r="E84" s="41" t="s">
        <v>1220</v>
      </c>
    </row>
    <row r="85" spans="1:9">
      <c r="D85" s="114">
        <v>43500</v>
      </c>
      <c r="E85" s="41" t="s">
        <v>4180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46" workbookViewId="0">
      <selection activeCell="D73" sqref="D73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>
      <c r="A58" s="11" t="s">
        <v>936</v>
      </c>
      <c r="B58" s="3">
        <v>-457777</v>
      </c>
      <c r="C58" s="11" t="s">
        <v>930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>
      <c r="A59" s="11" t="s">
        <v>1039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>
      <c r="A60" s="11" t="s">
        <v>1018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>
      <c r="A61" s="11" t="s">
        <v>1035</v>
      </c>
      <c r="B61" s="3">
        <v>4172</v>
      </c>
      <c r="C61" s="11" t="s">
        <v>1037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>
      <c r="A62" s="11" t="s">
        <v>1041</v>
      </c>
      <c r="B62" s="3">
        <v>-161000</v>
      </c>
      <c r="C62" s="11" t="s">
        <v>1049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>
      <c r="A63" s="11" t="s">
        <v>1054</v>
      </c>
      <c r="B63" s="3">
        <v>-149505</v>
      </c>
      <c r="C63" s="11" t="s">
        <v>1055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>
      <c r="A64" s="11" t="s">
        <v>1067</v>
      </c>
      <c r="B64" s="3">
        <v>-4940</v>
      </c>
      <c r="C64" s="11" t="s">
        <v>1071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>
      <c r="A65" s="11" t="s">
        <v>1148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>
      <c r="A66" s="11" t="s">
        <v>1151</v>
      </c>
      <c r="B66" s="3">
        <v>-64538</v>
      </c>
      <c r="C66" s="11" t="s">
        <v>871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>
      <c r="A67" s="11" t="s">
        <v>1200</v>
      </c>
      <c r="B67" s="3">
        <v>1000000</v>
      </c>
      <c r="C67" s="11" t="s">
        <v>1205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>
      <c r="A68" s="11" t="s">
        <v>1216</v>
      </c>
      <c r="B68" s="3">
        <v>-910500</v>
      </c>
      <c r="C68" s="11" t="s">
        <v>1217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>
      <c r="A69" s="99" t="s">
        <v>1225</v>
      </c>
      <c r="B69" s="113">
        <v>-24550</v>
      </c>
      <c r="C69" s="99" t="s">
        <v>871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>
      <c r="A70" s="99" t="s">
        <v>1226</v>
      </c>
      <c r="B70" s="113">
        <v>-75000</v>
      </c>
      <c r="C70" s="99" t="s">
        <v>1228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>
      <c r="A71" s="99" t="s">
        <v>3675</v>
      </c>
      <c r="B71" s="113">
        <v>1471</v>
      </c>
      <c r="C71" s="99" t="s">
        <v>3678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>
      <c r="A72" s="99" t="s">
        <v>4260</v>
      </c>
      <c r="B72" s="113">
        <v>-5000</v>
      </c>
      <c r="C72" s="99" t="s">
        <v>4261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40" workbookViewId="0">
      <selection activeCell="G64" sqref="G64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4175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4181</v>
      </c>
      <c r="B3" s="18">
        <v>830000</v>
      </c>
      <c r="C3" s="18">
        <v>0</v>
      </c>
      <c r="D3" s="117">
        <f t="shared" ref="D3:D26" si="0">B3-C3</f>
        <v>830000</v>
      </c>
      <c r="E3" s="20" t="s">
        <v>4183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4198</v>
      </c>
      <c r="B4" s="18">
        <v>-52440</v>
      </c>
      <c r="C4" s="18">
        <v>0</v>
      </c>
      <c r="D4" s="113">
        <f t="shared" si="0"/>
        <v>-52440</v>
      </c>
      <c r="E4" s="99" t="s">
        <v>4200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4201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4202</v>
      </c>
      <c r="B6" s="18">
        <v>-200000</v>
      </c>
      <c r="C6" s="18">
        <v>0</v>
      </c>
      <c r="D6" s="113">
        <f t="shared" si="0"/>
        <v>-200000</v>
      </c>
      <c r="E6" s="19" t="s">
        <v>4203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4204</v>
      </c>
      <c r="B7" s="18">
        <v>-28000</v>
      </c>
      <c r="C7" s="18">
        <v>0</v>
      </c>
      <c r="D7" s="113">
        <f t="shared" si="0"/>
        <v>-28000</v>
      </c>
      <c r="E7" s="19" t="s">
        <v>1040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4205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4205</v>
      </c>
      <c r="B9" s="18">
        <v>-30000</v>
      </c>
      <c r="C9" s="18">
        <v>0</v>
      </c>
      <c r="D9" s="113">
        <f t="shared" si="0"/>
        <v>-30000</v>
      </c>
      <c r="E9" s="21" t="s">
        <v>4206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4072</v>
      </c>
      <c r="B10" s="18">
        <v>-178000</v>
      </c>
      <c r="C10" s="18">
        <v>0</v>
      </c>
      <c r="D10" s="113">
        <f t="shared" si="0"/>
        <v>-178000</v>
      </c>
      <c r="E10" s="19" t="s">
        <v>4209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4210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4174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4214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4219</v>
      </c>
      <c r="B14" s="18">
        <v>1548000</v>
      </c>
      <c r="C14" s="18">
        <v>0</v>
      </c>
      <c r="D14" s="113">
        <f t="shared" si="0"/>
        <v>1548000</v>
      </c>
      <c r="E14" s="20" t="s">
        <v>4259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4250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4260</v>
      </c>
      <c r="B16" s="18">
        <v>-5000</v>
      </c>
      <c r="C16" s="18">
        <v>-2500</v>
      </c>
      <c r="D16" s="113">
        <f t="shared" si="0"/>
        <v>-2500</v>
      </c>
      <c r="E16" s="20" t="s">
        <v>4261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4275</v>
      </c>
      <c r="B17" s="18">
        <v>-190000</v>
      </c>
      <c r="C17" s="18">
        <v>0</v>
      </c>
      <c r="D17" s="113">
        <f t="shared" si="0"/>
        <v>-190000</v>
      </c>
      <c r="E17" s="20" t="s">
        <v>4276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4321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4137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4137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4140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4140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4160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4160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4165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4178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4184</v>
      </c>
      <c r="F34" s="96"/>
      <c r="G34" s="9" t="s">
        <v>1038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4185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4186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4187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4193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4194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4041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4041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4207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4209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4211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4213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4213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4215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4217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4220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4257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4258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4269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4274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4278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4279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4281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4282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4284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4285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4287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4291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4292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4293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4303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4313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4320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4324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940</v>
      </c>
      <c r="B1" s="11" t="s">
        <v>937</v>
      </c>
      <c r="C1" s="11" t="s">
        <v>938</v>
      </c>
      <c r="D1" s="11" t="s">
        <v>949</v>
      </c>
      <c r="E1" s="11" t="s">
        <v>951</v>
      </c>
      <c r="F1" s="11" t="s">
        <v>941</v>
      </c>
      <c r="G1" s="11" t="s">
        <v>183</v>
      </c>
      <c r="H1" s="11" t="s">
        <v>956</v>
      </c>
      <c r="I1" s="11" t="s">
        <v>946</v>
      </c>
      <c r="J1" s="11" t="s">
        <v>952</v>
      </c>
      <c r="K1" s="11" t="s">
        <v>953</v>
      </c>
      <c r="L1" s="11" t="s">
        <v>947</v>
      </c>
      <c r="M1" s="11" t="s">
        <v>954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1015</v>
      </c>
      <c r="S1" s="99" t="s">
        <v>38</v>
      </c>
      <c r="T1" s="11" t="s">
        <v>957</v>
      </c>
      <c r="U1" s="74" t="s">
        <v>1032</v>
      </c>
      <c r="AE1" s="11" t="s">
        <v>956</v>
      </c>
      <c r="AF1" s="25"/>
    </row>
    <row r="2" spans="1:38">
      <c r="A2" s="75" t="s">
        <v>928</v>
      </c>
      <c r="B2" s="75" t="s">
        <v>948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948</v>
      </c>
      <c r="C3" s="75">
        <v>400</v>
      </c>
      <c r="D3" s="75" t="s">
        <v>950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943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944</v>
      </c>
      <c r="AF3" s="107" t="s">
        <v>1021</v>
      </c>
      <c r="AG3" s="107" t="s">
        <v>1022</v>
      </c>
      <c r="AH3" s="107" t="s">
        <v>1123</v>
      </c>
      <c r="AI3" s="107" t="s">
        <v>1023</v>
      </c>
      <c r="AJ3" s="107" t="s">
        <v>1024</v>
      </c>
      <c r="AK3" s="107" t="s">
        <v>1124</v>
      </c>
      <c r="AL3" s="107" t="s">
        <v>945</v>
      </c>
    </row>
    <row r="4" spans="1:38">
      <c r="A4" s="78" t="s">
        <v>928</v>
      </c>
      <c r="B4" s="78" t="s">
        <v>939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3711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1018</v>
      </c>
      <c r="B5" s="78" t="s">
        <v>939</v>
      </c>
      <c r="C5" s="78">
        <v>3</v>
      </c>
      <c r="D5" s="78" t="s">
        <v>950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939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1029</v>
      </c>
      <c r="B7" s="75" t="s">
        <v>939</v>
      </c>
      <c r="C7" s="75">
        <v>497</v>
      </c>
      <c r="D7" s="75" t="s">
        <v>950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936</v>
      </c>
      <c r="B8" s="78" t="s">
        <v>955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935</v>
      </c>
      <c r="B9" s="78" t="s">
        <v>955</v>
      </c>
      <c r="C9" s="78">
        <v>300</v>
      </c>
      <c r="D9" s="78" t="s">
        <v>950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936</v>
      </c>
      <c r="B10" s="75" t="s">
        <v>955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1029</v>
      </c>
      <c r="B11" s="75" t="s">
        <v>955</v>
      </c>
      <c r="C11" s="75">
        <v>100</v>
      </c>
      <c r="D11" s="75" t="s">
        <v>950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935</v>
      </c>
      <c r="B12" s="78" t="s">
        <v>1008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935</v>
      </c>
      <c r="B13" s="78" t="s">
        <v>1008</v>
      </c>
      <c r="C13" s="78">
        <v>200</v>
      </c>
      <c r="D13" s="78" t="s">
        <v>950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935</v>
      </c>
      <c r="B14" s="75" t="s">
        <v>965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1088</v>
      </c>
      <c r="AE14" s="96"/>
      <c r="AF14" s="96"/>
      <c r="AG14" s="96"/>
      <c r="AI14" s="96"/>
      <c r="AJ14" s="96"/>
      <c r="AL14" s="96"/>
    </row>
    <row r="15" spans="1:38">
      <c r="A15" s="75" t="s">
        <v>935</v>
      </c>
      <c r="B15" s="75" t="s">
        <v>965</v>
      </c>
      <c r="C15" s="75">
        <v>200</v>
      </c>
      <c r="D15" s="75" t="s">
        <v>950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1025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935</v>
      </c>
      <c r="B16" s="78" t="s">
        <v>948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1026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1029</v>
      </c>
      <c r="B17" s="78" t="s">
        <v>948</v>
      </c>
      <c r="C17" s="78">
        <v>100</v>
      </c>
      <c r="D17" s="78" t="s">
        <v>950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935</v>
      </c>
      <c r="B18" s="75" t="s">
        <v>948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1056</v>
      </c>
      <c r="AB18" s="96">
        <v>8</v>
      </c>
      <c r="AD18" s="96"/>
      <c r="AE18" s="96"/>
      <c r="AF18" s="96"/>
      <c r="AG18" s="96"/>
    </row>
    <row r="19" spans="1:33">
      <c r="A19" s="75" t="s">
        <v>1029</v>
      </c>
      <c r="B19" s="75" t="s">
        <v>948</v>
      </c>
      <c r="C19" s="75">
        <v>100</v>
      </c>
      <c r="D19" s="75" t="s">
        <v>950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1057</v>
      </c>
      <c r="AB19" s="96">
        <v>70</v>
      </c>
      <c r="AD19" s="96"/>
      <c r="AE19" s="96"/>
      <c r="AF19" s="96"/>
      <c r="AG19" s="96"/>
    </row>
    <row r="20" spans="1:33">
      <c r="A20" s="78" t="s">
        <v>935</v>
      </c>
      <c r="B20" s="78" t="s">
        <v>948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1029</v>
      </c>
      <c r="B21" s="78" t="s">
        <v>948</v>
      </c>
      <c r="C21" s="78">
        <v>200</v>
      </c>
      <c r="D21" s="78" t="s">
        <v>950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935</v>
      </c>
      <c r="B22" s="75" t="s">
        <v>961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958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1029</v>
      </c>
      <c r="B23" s="75" t="s">
        <v>961</v>
      </c>
      <c r="C23" s="75">
        <v>100</v>
      </c>
      <c r="D23" s="75" t="s">
        <v>950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959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935</v>
      </c>
      <c r="B24" s="78" t="s">
        <v>948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1029</v>
      </c>
      <c r="B25" s="78" t="s">
        <v>948</v>
      </c>
      <c r="C25" s="78">
        <v>300</v>
      </c>
      <c r="D25" s="78" t="s">
        <v>950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935</v>
      </c>
      <c r="B26" s="75" t="s">
        <v>961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1029</v>
      </c>
      <c r="B27" s="75" t="s">
        <v>961</v>
      </c>
      <c r="C27" s="75">
        <v>200</v>
      </c>
      <c r="D27" s="75" t="s">
        <v>950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935</v>
      </c>
      <c r="B28" s="87" t="s">
        <v>961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1066</v>
      </c>
      <c r="B29" s="87" t="s">
        <v>961</v>
      </c>
      <c r="C29" s="87">
        <v>100</v>
      </c>
      <c r="D29" s="87" t="s">
        <v>950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1018</v>
      </c>
      <c r="B30" s="78" t="s">
        <v>1008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1018</v>
      </c>
      <c r="B31" s="78" t="s">
        <v>1008</v>
      </c>
      <c r="C31" s="78">
        <v>143</v>
      </c>
      <c r="D31" s="78" t="s">
        <v>950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1018</v>
      </c>
      <c r="B32" s="75" t="s">
        <v>939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1018</v>
      </c>
      <c r="B33" s="75" t="s">
        <v>939</v>
      </c>
      <c r="C33" s="75">
        <v>500</v>
      </c>
      <c r="D33" s="75" t="s">
        <v>950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1018</v>
      </c>
      <c r="B34" s="78" t="s">
        <v>1008</v>
      </c>
      <c r="C34" s="78">
        <v>140</v>
      </c>
      <c r="D34" s="78" t="s">
        <v>1020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954</v>
      </c>
      <c r="Z34" s="97">
        <f>Z32-AL12</f>
        <v>0</v>
      </c>
    </row>
    <row r="35" spans="1:26">
      <c r="A35" s="78" t="s">
        <v>1018</v>
      </c>
      <c r="B35" s="78" t="s">
        <v>1008</v>
      </c>
      <c r="C35" s="78">
        <v>140</v>
      </c>
      <c r="D35" s="78" t="s">
        <v>950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1029</v>
      </c>
      <c r="B36" s="75" t="s">
        <v>955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1029</v>
      </c>
      <c r="B37" s="75" t="s">
        <v>955</v>
      </c>
      <c r="C37" s="75">
        <v>100</v>
      </c>
      <c r="D37" s="75" t="s">
        <v>950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1029</v>
      </c>
      <c r="B38" s="78" t="s">
        <v>962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1029</v>
      </c>
      <c r="B39" s="78" t="s">
        <v>962</v>
      </c>
      <c r="C39" s="78">
        <v>500</v>
      </c>
      <c r="D39" s="78" t="s">
        <v>950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1029</v>
      </c>
      <c r="B40" s="75" t="s">
        <v>939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1066</v>
      </c>
      <c r="B41" s="75" t="s">
        <v>939</v>
      </c>
      <c r="C41" s="75">
        <v>8</v>
      </c>
      <c r="D41" s="75" t="s">
        <v>950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1029</v>
      </c>
      <c r="B42" s="78" t="s">
        <v>965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1067</v>
      </c>
      <c r="B43" s="78" t="s">
        <v>965</v>
      </c>
      <c r="C43" s="78">
        <v>1900</v>
      </c>
      <c r="D43" s="78" t="s">
        <v>950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1111</v>
      </c>
      <c r="B44" s="118" t="s">
        <v>1126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1127</v>
      </c>
      <c r="U44" s="76"/>
    </row>
    <row r="45" spans="1:26">
      <c r="A45" s="118" t="s">
        <v>1111</v>
      </c>
      <c r="B45" s="118" t="s">
        <v>1128</v>
      </c>
      <c r="C45" s="118">
        <v>100</v>
      </c>
      <c r="D45" s="118" t="s">
        <v>950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1111</v>
      </c>
      <c r="B46" s="121" t="s">
        <v>939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950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3711</v>
      </c>
      <c r="B48" s="118" t="s">
        <v>955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950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3711</v>
      </c>
      <c r="B60" s="16" t="s">
        <v>939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3759</v>
      </c>
      <c r="B62" s="82" t="s">
        <v>1087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1016</v>
      </c>
      <c r="R71" s="11" t="s">
        <v>1017</v>
      </c>
      <c r="S71" s="99" t="s">
        <v>1125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1105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950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950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950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950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950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4" zoomScaleNormal="100" workbookViewId="0">
      <pane xSplit="1" topLeftCell="B1" activePane="topRight" state="frozen"/>
      <selection pane="topRight" activeCell="D17" sqref="D17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960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1052</v>
      </c>
      <c r="M1" s="11" t="s">
        <v>969</v>
      </c>
      <c r="N1" s="11" t="s">
        <v>1042</v>
      </c>
      <c r="O1" s="11" t="s">
        <v>971</v>
      </c>
      <c r="P1" s="11" t="s">
        <v>1048</v>
      </c>
      <c r="Q1" s="11" t="s">
        <v>972</v>
      </c>
      <c r="R1" s="11" t="s">
        <v>1001</v>
      </c>
      <c r="S1" s="11" t="s">
        <v>983</v>
      </c>
      <c r="T1" s="11" t="s">
        <v>942</v>
      </c>
      <c r="U1" s="69" t="s">
        <v>1047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956</v>
      </c>
      <c r="AD1" t="s">
        <v>1006</v>
      </c>
      <c r="AE1" t="s">
        <v>1007</v>
      </c>
      <c r="AI1">
        <v>0.51500000000000001</v>
      </c>
      <c r="AJ1" t="s">
        <v>1033</v>
      </c>
      <c r="AL1" t="s">
        <v>1043</v>
      </c>
      <c r="AM1" t="s">
        <v>1044</v>
      </c>
    </row>
    <row r="2" spans="1:39" ht="19.5" customHeight="1">
      <c r="A2" s="146" t="s">
        <v>966</v>
      </c>
      <c r="B2" s="86">
        <f>$S2/(1+($B$1-$O2+$P2)/36500)^$N2</f>
        <v>77514.334768791377</v>
      </c>
      <c r="C2" s="86">
        <f t="shared" ref="C2:C20" si="0">$S2/(1+($C$1-$O2+$P2)/36500)^$N2</f>
        <v>80737.595535844011</v>
      </c>
      <c r="D2" s="86">
        <f>$S2/(1+($D$1-$O2+$P2)/36500)^$N2</f>
        <v>81149.84060249904</v>
      </c>
      <c r="E2" s="86">
        <f>$S2/(1+($E$1-$O2+$P2)/36500)^$N2</f>
        <v>81564.196274200891</v>
      </c>
      <c r="F2" s="86">
        <f>$S2/(1+($F$1-$O2+$P2)/36500)^$N2</f>
        <v>81980.673385916467</v>
      </c>
      <c r="G2" s="86">
        <f>$S2/(1+($G$1-$O2+$P2)/36500)^$N2</f>
        <v>82399.282828364332</v>
      </c>
      <c r="H2" s="86">
        <f>$S2/(1+($H$1-$O2+$P2)/36500)^$N2</f>
        <v>82820.035548342305</v>
      </c>
      <c r="I2" s="86">
        <f>$S2/(1+($I$1-$O2+$P2)/36500)^$N2</f>
        <v>83242.942548981431</v>
      </c>
      <c r="J2" s="86">
        <f>$S2/(1+($J$1-$O2+$P2)/36500)^$N2</f>
        <v>83668.01489005897</v>
      </c>
      <c r="K2" s="86">
        <f>$S2/(1+($K$1-$O2+$P2)/36500)^$N2</f>
        <v>84095.263688296138</v>
      </c>
      <c r="L2" s="86">
        <f t="shared" ref="L2:L38" si="1">$S2/(1+($AC$5-$O2+$P2)/36500)^$N2</f>
        <v>81564.196274200891</v>
      </c>
      <c r="M2" s="146" t="s">
        <v>992</v>
      </c>
      <c r="N2" s="146">
        <f>601-$AD$19</f>
        <v>372</v>
      </c>
      <c r="O2" s="146">
        <v>0</v>
      </c>
      <c r="P2" s="146">
        <v>0</v>
      </c>
      <c r="Q2" s="146">
        <v>0</v>
      </c>
      <c r="R2" s="146">
        <f t="shared" ref="R2:R38" si="2">N2/30.5</f>
        <v>12.196721311475409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1034</v>
      </c>
    </row>
    <row r="3" spans="1:39" ht="18" customHeight="1">
      <c r="A3" s="188" t="s">
        <v>4231</v>
      </c>
      <c r="B3" s="189">
        <f>$S3/(1+($B$1-$O3+$P3)/36500)^$N3</f>
        <v>97098.721940649513</v>
      </c>
      <c r="C3" s="189">
        <f t="shared" si="0"/>
        <v>97557.073321153264</v>
      </c>
      <c r="D3" s="189">
        <f t="shared" ref="D3:D38" si="5">$S3/(1+($D$1-$O3+$P3)/36500)^$N3</f>
        <v>97614.522705318159</v>
      </c>
      <c r="E3" s="189">
        <f t="shared" ref="E3:E38" si="6">$S3/(1+($E$1-$O3+$P3)/36500)^$N3</f>
        <v>97672.00670749729</v>
      </c>
      <c r="F3" s="189">
        <f t="shared" ref="F3:F38" si="7">$S3/(1+($F$1-$O3+$P3)/36500)^$N3</f>
        <v>97729.525349026546</v>
      </c>
      <c r="G3" s="189">
        <f t="shared" ref="G3:G38" si="8">$S3/(1+($G$1-$O3+$P3)/36500)^$N3</f>
        <v>97787.078651252508</v>
      </c>
      <c r="H3" s="189">
        <f t="shared" ref="H3:H38" si="9">$S3/(1+($H$1-$O3+$P3)/36500)^$N3</f>
        <v>97844.666635538088</v>
      </c>
      <c r="I3" s="189">
        <f t="shared" ref="I3:I38" si="10">$S3/(1+($I$1-$O3+$P3)/36500)^$N3</f>
        <v>97902.289323257239</v>
      </c>
      <c r="J3" s="189">
        <f t="shared" ref="J3:J38" si="11">$S3/(1+($J$1-$O3+$P3)/36500)^$N3</f>
        <v>97959.946735798527</v>
      </c>
      <c r="K3" s="189">
        <f t="shared" ref="K3:K38" si="12">$S3/(1+($K$1-$O3+$P3)/36500)^$N3</f>
        <v>98017.63889456552</v>
      </c>
      <c r="L3" s="189">
        <f t="shared" si="1"/>
        <v>97672.00670749729</v>
      </c>
      <c r="M3" s="188" t="s">
        <v>4240</v>
      </c>
      <c r="N3" s="188">
        <f>272-$AD$19</f>
        <v>43</v>
      </c>
      <c r="O3" s="188">
        <v>0</v>
      </c>
      <c r="P3" s="188">
        <v>0</v>
      </c>
      <c r="Q3" s="188">
        <v>0</v>
      </c>
      <c r="R3" s="188"/>
      <c r="S3" s="189">
        <v>100000</v>
      </c>
      <c r="T3" s="189"/>
      <c r="U3" s="189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967</v>
      </c>
      <c r="B4" s="88">
        <f t="shared" ref="B4:B38" si="14">$S4/(1+($B$1-$O4+$P4)/36500)^$N4</f>
        <v>79014.738737796448</v>
      </c>
      <c r="C4" s="88">
        <f t="shared" si="0"/>
        <v>82048.397879765544</v>
      </c>
      <c r="D4" s="88">
        <f t="shared" si="5"/>
        <v>82435.728609053331</v>
      </c>
      <c r="E4" s="88">
        <f t="shared" si="6"/>
        <v>82824.89317398984</v>
      </c>
      <c r="F4" s="88">
        <f t="shared" si="7"/>
        <v>83215.90028225127</v>
      </c>
      <c r="G4" s="88">
        <f t="shared" si="8"/>
        <v>83608.758682962274</v>
      </c>
      <c r="H4" s="88">
        <f t="shared" si="9"/>
        <v>84003.477166931116</v>
      </c>
      <c r="I4" s="88">
        <f t="shared" si="10"/>
        <v>84400.064566815417</v>
      </c>
      <c r="J4" s="88">
        <f t="shared" si="11"/>
        <v>84798.529757342985</v>
      </c>
      <c r="K4" s="88">
        <f t="shared" si="12"/>
        <v>85198.881655517805</v>
      </c>
      <c r="L4" s="88">
        <f t="shared" si="1"/>
        <v>82824.89317398984</v>
      </c>
      <c r="M4" s="87" t="s">
        <v>993</v>
      </c>
      <c r="N4" s="87">
        <f>573-$AD$19</f>
        <v>344</v>
      </c>
      <c r="O4" s="87">
        <v>0</v>
      </c>
      <c r="P4" s="87">
        <v>0</v>
      </c>
      <c r="Q4" s="87">
        <v>0</v>
      </c>
      <c r="R4" s="87">
        <f t="shared" si="2"/>
        <v>11.278688524590164</v>
      </c>
      <c r="S4" s="88">
        <v>100000</v>
      </c>
      <c r="T4" s="88">
        <v>73600</v>
      </c>
      <c r="U4" s="88">
        <f t="shared" si="3"/>
        <v>99999.999999999985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968</v>
      </c>
      <c r="B5" s="57">
        <f t="shared" si="14"/>
        <v>96172.403848201851</v>
      </c>
      <c r="C5" s="57">
        <f t="shared" si="0"/>
        <v>96774.651552524592</v>
      </c>
      <c r="D5" s="57">
        <f t="shared" si="5"/>
        <v>96850.201863545619</v>
      </c>
      <c r="E5" s="57">
        <f t="shared" si="6"/>
        <v>96925.812190971512</v>
      </c>
      <c r="F5" s="57">
        <f t="shared" si="7"/>
        <v>97001.482583303019</v>
      </c>
      <c r="G5" s="57">
        <f t="shared" si="8"/>
        <v>97077.21308907721</v>
      </c>
      <c r="H5" s="57">
        <f t="shared" si="9"/>
        <v>97153.003756874692</v>
      </c>
      <c r="I5" s="57">
        <f t="shared" si="10"/>
        <v>97228.854635313066</v>
      </c>
      <c r="J5" s="57">
        <f t="shared" si="11"/>
        <v>97304.765773051084</v>
      </c>
      <c r="K5" s="57">
        <f t="shared" si="12"/>
        <v>97380.737218789785</v>
      </c>
      <c r="L5" s="57">
        <f t="shared" si="1"/>
        <v>96925.812190971512</v>
      </c>
      <c r="M5" s="12" t="s">
        <v>995</v>
      </c>
      <c r="N5" s="12">
        <f>286-$AD$19</f>
        <v>57</v>
      </c>
      <c r="O5" s="12">
        <v>0</v>
      </c>
      <c r="P5" s="12">
        <v>0</v>
      </c>
      <c r="Q5" s="12">
        <v>0</v>
      </c>
      <c r="R5" s="12">
        <f t="shared" si="2"/>
        <v>1.8688524590163935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950</v>
      </c>
      <c r="AC5">
        <v>20</v>
      </c>
    </row>
    <row r="6" spans="1:39" ht="21.75" customHeight="1">
      <c r="A6" s="146" t="s">
        <v>984</v>
      </c>
      <c r="B6" s="86">
        <f>$S6/(1+($B$1-$O6+$P6)/36500)^$N6</f>
        <v>84846.428120270313</v>
      </c>
      <c r="C6" s="86">
        <f t="shared" si="0"/>
        <v>87106.168413409643</v>
      </c>
      <c r="D6" s="86">
        <f t="shared" si="5"/>
        <v>87392.852883421438</v>
      </c>
      <c r="E6" s="86">
        <f t="shared" si="6"/>
        <v>87680.484835890209</v>
      </c>
      <c r="F6" s="86">
        <f t="shared" si="7"/>
        <v>87969.067415256388</v>
      </c>
      <c r="G6" s="86">
        <f t="shared" si="8"/>
        <v>88258.603776425429</v>
      </c>
      <c r="H6" s="86">
        <f t="shared" si="9"/>
        <v>88549.097084830384</v>
      </c>
      <c r="I6" s="86">
        <f t="shared" si="10"/>
        <v>88840.550516442469</v>
      </c>
      <c r="J6" s="86">
        <f t="shared" si="11"/>
        <v>89132.967257821831</v>
      </c>
      <c r="K6" s="86">
        <f t="shared" si="12"/>
        <v>89426.35050615661</v>
      </c>
      <c r="L6" s="86">
        <f t="shared" si="1"/>
        <v>87680.484835890209</v>
      </c>
      <c r="M6" s="146" t="s">
        <v>994</v>
      </c>
      <c r="N6" s="146">
        <f>469-$AD$19</f>
        <v>240</v>
      </c>
      <c r="O6" s="146">
        <v>0</v>
      </c>
      <c r="P6" s="146">
        <v>0</v>
      </c>
      <c r="Q6" s="146">
        <v>0</v>
      </c>
      <c r="R6" s="146">
        <f t="shared" si="2"/>
        <v>7.8688524590163933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8" t="s">
        <v>985</v>
      </c>
      <c r="B7" s="189">
        <f t="shared" si="14"/>
        <v>84846.428120270313</v>
      </c>
      <c r="C7" s="189">
        <f t="shared" si="0"/>
        <v>87106.168413409643</v>
      </c>
      <c r="D7" s="189">
        <f t="shared" si="5"/>
        <v>87392.852883421438</v>
      </c>
      <c r="E7" s="189">
        <f t="shared" si="6"/>
        <v>87680.484835890209</v>
      </c>
      <c r="F7" s="189">
        <f t="shared" si="7"/>
        <v>87969.067415256388</v>
      </c>
      <c r="G7" s="189">
        <f t="shared" si="8"/>
        <v>88258.603776425429</v>
      </c>
      <c r="H7" s="189">
        <f t="shared" si="9"/>
        <v>88549.097084830384</v>
      </c>
      <c r="I7" s="189">
        <f t="shared" si="10"/>
        <v>88840.550516442469</v>
      </c>
      <c r="J7" s="189">
        <f t="shared" si="11"/>
        <v>89132.967257821831</v>
      </c>
      <c r="K7" s="189">
        <f t="shared" si="12"/>
        <v>89426.35050615661</v>
      </c>
      <c r="L7" s="189">
        <f t="shared" si="1"/>
        <v>87680.484835890209</v>
      </c>
      <c r="M7" s="188" t="s">
        <v>994</v>
      </c>
      <c r="N7" s="188">
        <f>469-$AD$19</f>
        <v>240</v>
      </c>
      <c r="O7" s="188">
        <v>0</v>
      </c>
      <c r="P7" s="188">
        <v>0</v>
      </c>
      <c r="Q7" s="188">
        <v>0</v>
      </c>
      <c r="R7" s="188">
        <f t="shared" si="2"/>
        <v>7.8688524590163933</v>
      </c>
      <c r="S7" s="189">
        <v>100000</v>
      </c>
      <c r="T7" s="189">
        <v>77700</v>
      </c>
      <c r="U7" s="189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986</v>
      </c>
      <c r="B8" s="88">
        <f t="shared" si="14"/>
        <v>76407.758800720039</v>
      </c>
      <c r="C8" s="88">
        <f t="shared" si="0"/>
        <v>79768.254915532176</v>
      </c>
      <c r="D8" s="88">
        <f t="shared" si="5"/>
        <v>80198.604951224508</v>
      </c>
      <c r="E8" s="88">
        <f t="shared" si="6"/>
        <v>80631.282666650091</v>
      </c>
      <c r="F8" s="88">
        <f t="shared" si="7"/>
        <v>81066.30068391368</v>
      </c>
      <c r="G8" s="88">
        <f t="shared" si="8"/>
        <v>81503.671693718221</v>
      </c>
      <c r="H8" s="88">
        <f t="shared" si="9"/>
        <v>81943.408455780271</v>
      </c>
      <c r="I8" s="88">
        <f t="shared" si="10"/>
        <v>82385.52379916895</v>
      </c>
      <c r="J8" s="88">
        <f t="shared" si="11"/>
        <v>82830.030622707258</v>
      </c>
      <c r="K8" s="88">
        <f t="shared" si="12"/>
        <v>83276.941895358032</v>
      </c>
      <c r="L8" s="88">
        <f t="shared" si="1"/>
        <v>80631.282666650091</v>
      </c>
      <c r="M8" s="87" t="s">
        <v>998</v>
      </c>
      <c r="N8" s="87">
        <f>622-$AD$19</f>
        <v>393</v>
      </c>
      <c r="O8" s="87">
        <v>0</v>
      </c>
      <c r="P8" s="87">
        <v>0</v>
      </c>
      <c r="Q8" s="87">
        <v>0</v>
      </c>
      <c r="R8" s="87">
        <f t="shared" si="2"/>
        <v>12.885245901639344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4232</v>
      </c>
      <c r="B9" s="86">
        <f t="shared" si="14"/>
        <v>97966.861599151744</v>
      </c>
      <c r="C9" s="86">
        <f t="shared" si="0"/>
        <v>98289.270967842604</v>
      </c>
      <c r="D9" s="86">
        <f t="shared" si="5"/>
        <v>98329.649160521207</v>
      </c>
      <c r="E9" s="86">
        <f t="shared" si="6"/>
        <v>98370.04449411534</v>
      </c>
      <c r="F9" s="86">
        <f t="shared" si="7"/>
        <v>98410.456976137066</v>
      </c>
      <c r="G9" s="86">
        <f t="shared" si="8"/>
        <v>98450.886614100164</v>
      </c>
      <c r="H9" s="86">
        <f t="shared" si="9"/>
        <v>98491.333415523623</v>
      </c>
      <c r="I9" s="86">
        <f t="shared" si="10"/>
        <v>98531.797387928338</v>
      </c>
      <c r="J9" s="86">
        <f t="shared" si="11"/>
        <v>98572.278538839237</v>
      </c>
      <c r="K9" s="86">
        <f t="shared" si="12"/>
        <v>98612.776875785785</v>
      </c>
      <c r="L9" s="86">
        <f t="shared" si="1"/>
        <v>98370.04449411534</v>
      </c>
      <c r="M9" s="146" t="s">
        <v>4241</v>
      </c>
      <c r="N9" s="146">
        <f>259-$AD$19</f>
        <v>30</v>
      </c>
      <c r="O9" s="146">
        <v>0</v>
      </c>
      <c r="P9" s="146">
        <v>0</v>
      </c>
      <c r="Q9" s="146">
        <v>0</v>
      </c>
      <c r="R9" s="146">
        <f t="shared" si="2"/>
        <v>0.98360655737704916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8" t="s">
        <v>987</v>
      </c>
      <c r="B10" s="189">
        <f t="shared" si="14"/>
        <v>73181.915318684158</v>
      </c>
      <c r="C10" s="189">
        <f t="shared" si="0"/>
        <v>76929.503612245229</v>
      </c>
      <c r="D10" s="189">
        <f t="shared" si="5"/>
        <v>77411.278823630317</v>
      </c>
      <c r="E10" s="189">
        <f t="shared" si="6"/>
        <v>77896.077836591649</v>
      </c>
      <c r="F10" s="189">
        <f t="shared" si="7"/>
        <v>78383.919671440424</v>
      </c>
      <c r="G10" s="189">
        <f t="shared" si="8"/>
        <v>78874.82346836901</v>
      </c>
      <c r="H10" s="189">
        <f t="shared" si="9"/>
        <v>79368.808488254756</v>
      </c>
      <c r="I10" s="189">
        <f t="shared" si="10"/>
        <v>79865.894113380797</v>
      </c>
      <c r="J10" s="189">
        <f t="shared" si="11"/>
        <v>80366.099848229351</v>
      </c>
      <c r="K10" s="189">
        <f t="shared" si="12"/>
        <v>80869.445320260129</v>
      </c>
      <c r="L10" s="189">
        <f t="shared" si="1"/>
        <v>77896.077836591649</v>
      </c>
      <c r="M10" s="188" t="s">
        <v>999</v>
      </c>
      <c r="N10" s="188">
        <f>685-$AD$19</f>
        <v>456</v>
      </c>
      <c r="O10" s="188">
        <v>0</v>
      </c>
      <c r="P10" s="188">
        <v>0</v>
      </c>
      <c r="Q10" s="188">
        <v>0</v>
      </c>
      <c r="R10" s="188">
        <f t="shared" si="2"/>
        <v>14.950819672131148</v>
      </c>
      <c r="S10" s="189">
        <v>100000</v>
      </c>
      <c r="T10" s="189">
        <v>70000</v>
      </c>
      <c r="U10" s="189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988</v>
      </c>
      <c r="B11" s="88">
        <f t="shared" si="14"/>
        <v>74598.458936468698</v>
      </c>
      <c r="C11" s="88">
        <f t="shared" si="0"/>
        <v>78178.480287639075</v>
      </c>
      <c r="D11" s="88">
        <f t="shared" si="5"/>
        <v>78637.926150011772</v>
      </c>
      <c r="E11" s="88">
        <f t="shared" si="6"/>
        <v>79100.078468243417</v>
      </c>
      <c r="F11" s="88">
        <f t="shared" si="7"/>
        <v>79564.953222635231</v>
      </c>
      <c r="G11" s="88">
        <f t="shared" si="8"/>
        <v>80032.566488042852</v>
      </c>
      <c r="H11" s="88">
        <f t="shared" si="9"/>
        <v>80502.934434481649</v>
      </c>
      <c r="I11" s="88">
        <f t="shared" si="10"/>
        <v>80976.073327651306</v>
      </c>
      <c r="J11" s="88">
        <f t="shared" si="11"/>
        <v>81451.999529528606</v>
      </c>
      <c r="K11" s="88">
        <f t="shared" si="12"/>
        <v>81930.729498944624</v>
      </c>
      <c r="L11" s="88">
        <f t="shared" si="1"/>
        <v>79100.078468243417</v>
      </c>
      <c r="M11" s="87" t="s">
        <v>1000</v>
      </c>
      <c r="N11" s="87">
        <f>657-$AD$19</f>
        <v>428</v>
      </c>
      <c r="O11" s="87">
        <v>0</v>
      </c>
      <c r="P11" s="87">
        <v>0</v>
      </c>
      <c r="Q11" s="87">
        <v>0</v>
      </c>
      <c r="R11" s="87">
        <f t="shared" si="2"/>
        <v>14.032786885245901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989</v>
      </c>
      <c r="B12" s="86">
        <f t="shared" si="14"/>
        <v>74598.458936468698</v>
      </c>
      <c r="C12" s="86">
        <f t="shared" si="0"/>
        <v>78178.480287639075</v>
      </c>
      <c r="D12" s="86">
        <f t="shared" si="5"/>
        <v>78637.926150011772</v>
      </c>
      <c r="E12" s="86">
        <f t="shared" si="6"/>
        <v>79100.078468243417</v>
      </c>
      <c r="F12" s="86">
        <f t="shared" si="7"/>
        <v>79564.953222635231</v>
      </c>
      <c r="G12" s="86">
        <f t="shared" si="8"/>
        <v>80032.566488042852</v>
      </c>
      <c r="H12" s="86">
        <f t="shared" si="9"/>
        <v>80502.934434481649</v>
      </c>
      <c r="I12" s="86">
        <f t="shared" si="10"/>
        <v>80976.073327651306</v>
      </c>
      <c r="J12" s="86">
        <f t="shared" si="11"/>
        <v>81451.999529528606</v>
      </c>
      <c r="K12" s="86">
        <f t="shared" si="12"/>
        <v>81930.729498944624</v>
      </c>
      <c r="L12" s="86">
        <f t="shared" si="1"/>
        <v>79100.078468243417</v>
      </c>
      <c r="M12" s="146" t="s">
        <v>1000</v>
      </c>
      <c r="N12" s="146">
        <f>657-$AD$19</f>
        <v>428</v>
      </c>
      <c r="O12" s="146">
        <v>0</v>
      </c>
      <c r="P12" s="146">
        <v>0</v>
      </c>
      <c r="Q12" s="146">
        <v>0</v>
      </c>
      <c r="R12" s="146">
        <f t="shared" si="2"/>
        <v>14.032786885245901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8" t="s">
        <v>990</v>
      </c>
      <c r="B13" s="189">
        <f t="shared" si="14"/>
        <v>77514.334768791377</v>
      </c>
      <c r="C13" s="189">
        <f t="shared" si="0"/>
        <v>80737.595535844011</v>
      </c>
      <c r="D13" s="189">
        <f t="shared" si="5"/>
        <v>81149.84060249904</v>
      </c>
      <c r="E13" s="189">
        <f t="shared" si="6"/>
        <v>81564.196274200891</v>
      </c>
      <c r="F13" s="189">
        <f t="shared" si="7"/>
        <v>81980.673385916467</v>
      </c>
      <c r="G13" s="189">
        <f t="shared" si="8"/>
        <v>82399.282828364332</v>
      </c>
      <c r="H13" s="189">
        <f t="shared" si="9"/>
        <v>82820.035548342305</v>
      </c>
      <c r="I13" s="189">
        <f t="shared" si="10"/>
        <v>83242.942548981431</v>
      </c>
      <c r="J13" s="189">
        <f t="shared" si="11"/>
        <v>83668.01489005897</v>
      </c>
      <c r="K13" s="189">
        <f t="shared" si="12"/>
        <v>84095.263688296138</v>
      </c>
      <c r="L13" s="189">
        <f t="shared" si="1"/>
        <v>81564.196274200891</v>
      </c>
      <c r="M13" s="188" t="s">
        <v>992</v>
      </c>
      <c r="N13" s="188">
        <f>601-$AD$19</f>
        <v>372</v>
      </c>
      <c r="O13" s="188">
        <v>0</v>
      </c>
      <c r="P13" s="188">
        <v>0</v>
      </c>
      <c r="Q13" s="188">
        <v>0</v>
      </c>
      <c r="R13" s="188">
        <f t="shared" si="2"/>
        <v>12.196721311475409</v>
      </c>
      <c r="S13" s="189">
        <v>100000</v>
      </c>
      <c r="T13" s="189">
        <v>73100</v>
      </c>
      <c r="U13" s="189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3855</v>
      </c>
      <c r="B14" s="88">
        <f t="shared" si="14"/>
        <v>82384.797317074321</v>
      </c>
      <c r="C14" s="88">
        <f t="shared" si="0"/>
        <v>84978.228586317258</v>
      </c>
      <c r="D14" s="88">
        <f t="shared" si="5"/>
        <v>85308.116220712705</v>
      </c>
      <c r="E14" s="88">
        <f t="shared" si="6"/>
        <v>85639.289030076849</v>
      </c>
      <c r="F14" s="88">
        <f t="shared" si="7"/>
        <v>85971.75203889524</v>
      </c>
      <c r="G14" s="88">
        <f t="shared" si="8"/>
        <v>86305.510291350467</v>
      </c>
      <c r="H14" s="88">
        <f t="shared" si="9"/>
        <v>86640.568851431264</v>
      </c>
      <c r="I14" s="88">
        <f t="shared" si="10"/>
        <v>86976.932802981974</v>
      </c>
      <c r="J14" s="88">
        <f t="shared" si="11"/>
        <v>87314.607249798995</v>
      </c>
      <c r="K14" s="88">
        <f t="shared" si="12"/>
        <v>87653.597315713021</v>
      </c>
      <c r="L14" s="88">
        <f t="shared" si="1"/>
        <v>85639.289030076849</v>
      </c>
      <c r="M14" s="87" t="s">
        <v>3856</v>
      </c>
      <c r="N14" s="87">
        <f>512-$AD$19</f>
        <v>283</v>
      </c>
      <c r="O14" s="87">
        <v>0</v>
      </c>
      <c r="P14" s="87">
        <v>0</v>
      </c>
      <c r="Q14" s="87">
        <v>0</v>
      </c>
      <c r="R14" s="87">
        <f t="shared" si="2"/>
        <v>9.278688524590164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3909</v>
      </c>
      <c r="B15" s="57">
        <f t="shared" si="14"/>
        <v>63947.537039527269</v>
      </c>
      <c r="C15" s="57">
        <f t="shared" si="0"/>
        <v>68688.348978538459</v>
      </c>
      <c r="D15" s="57">
        <f t="shared" si="5"/>
        <v>69305.184456763891</v>
      </c>
      <c r="E15" s="57">
        <f t="shared" si="6"/>
        <v>69927.567803337952</v>
      </c>
      <c r="F15" s="57">
        <f t="shared" si="7"/>
        <v>70555.548993236458</v>
      </c>
      <c r="G15" s="57">
        <f t="shared" si="8"/>
        <v>71189.17845227108</v>
      </c>
      <c r="H15" s="57">
        <f t="shared" si="9"/>
        <v>71828.507061223267</v>
      </c>
      <c r="I15" s="57">
        <f t="shared" si="10"/>
        <v>72473.58615990117</v>
      </c>
      <c r="J15" s="57">
        <f t="shared" si="11"/>
        <v>73124.467551321344</v>
      </c>
      <c r="K15" s="57">
        <f t="shared" si="12"/>
        <v>73781.203505902929</v>
      </c>
      <c r="L15" s="57">
        <f t="shared" si="1"/>
        <v>69927.567803337952</v>
      </c>
      <c r="M15" s="12" t="s">
        <v>3910</v>
      </c>
      <c r="N15" s="12">
        <f>882-$AD$19</f>
        <v>653</v>
      </c>
      <c r="O15" s="12">
        <v>0</v>
      </c>
      <c r="P15" s="12">
        <v>0</v>
      </c>
      <c r="Q15" s="12">
        <v>0</v>
      </c>
      <c r="R15" s="12">
        <f t="shared" si="2"/>
        <v>21.409836065573771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3958</v>
      </c>
      <c r="B16" s="86">
        <f t="shared" si="14"/>
        <v>62733.242846888133</v>
      </c>
      <c r="C16" s="86">
        <f t="shared" si="0"/>
        <v>67590.986310066757</v>
      </c>
      <c r="D16" s="86">
        <f t="shared" si="5"/>
        <v>68224.115519924322</v>
      </c>
      <c r="E16" s="86">
        <f t="shared" si="6"/>
        <v>68863.184082923661</v>
      </c>
      <c r="F16" s="86">
        <f t="shared" si="7"/>
        <v>69508.24779831442</v>
      </c>
      <c r="G16" s="86">
        <f t="shared" si="8"/>
        <v>70159.362990314767</v>
      </c>
      <c r="H16" s="86">
        <f t="shared" si="9"/>
        <v>70816.586513119852</v>
      </c>
      <c r="I16" s="86">
        <f t="shared" si="10"/>
        <v>71479.975755840118</v>
      </c>
      <c r="J16" s="86">
        <f t="shared" si="11"/>
        <v>72149.588647576675</v>
      </c>
      <c r="K16" s="86">
        <f t="shared" si="12"/>
        <v>72825.483662518338</v>
      </c>
      <c r="L16" s="86">
        <f t="shared" si="1"/>
        <v>68863.184082923661</v>
      </c>
      <c r="M16" s="146" t="s">
        <v>4218</v>
      </c>
      <c r="N16" s="146">
        <f>910-$AD$19</f>
        <v>681</v>
      </c>
      <c r="O16" s="146">
        <v>0</v>
      </c>
      <c r="P16" s="146">
        <v>0</v>
      </c>
      <c r="Q16" s="146">
        <v>0</v>
      </c>
      <c r="R16" s="146">
        <f t="shared" si="2"/>
        <v>22.327868852459016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8" t="s">
        <v>4233</v>
      </c>
      <c r="B17" s="189">
        <f t="shared" si="14"/>
        <v>97498.441689116444</v>
      </c>
      <c r="C17" s="189">
        <f t="shared" si="0"/>
        <v>97894.330454208728</v>
      </c>
      <c r="D17" s="189">
        <f t="shared" si="5"/>
        <v>97943.932499446819</v>
      </c>
      <c r="E17" s="189">
        <f t="shared" si="6"/>
        <v>97993.560357147391</v>
      </c>
      <c r="F17" s="189">
        <f t="shared" si="7"/>
        <v>98043.214041097846</v>
      </c>
      <c r="G17" s="189">
        <f t="shared" si="8"/>
        <v>98092.893565090722</v>
      </c>
      <c r="H17" s="189">
        <f t="shared" si="9"/>
        <v>98142.598942928496</v>
      </c>
      <c r="I17" s="189">
        <f t="shared" si="10"/>
        <v>98192.330188419393</v>
      </c>
      <c r="J17" s="189">
        <f t="shared" si="11"/>
        <v>98242.087315379904</v>
      </c>
      <c r="K17" s="189">
        <f t="shared" si="12"/>
        <v>98291.870337635555</v>
      </c>
      <c r="L17" s="189">
        <f t="shared" si="1"/>
        <v>97993.560357147391</v>
      </c>
      <c r="M17" s="188" t="s">
        <v>4242</v>
      </c>
      <c r="N17" s="188">
        <f>266-$AD$19</f>
        <v>37</v>
      </c>
      <c r="O17" s="188">
        <v>0</v>
      </c>
      <c r="P17" s="188">
        <v>0</v>
      </c>
      <c r="Q17" s="188">
        <v>0</v>
      </c>
      <c r="R17" s="188">
        <f t="shared" si="2"/>
        <v>1.2131147540983607</v>
      </c>
      <c r="S17" s="189">
        <v>100000</v>
      </c>
      <c r="T17" s="189"/>
      <c r="U17" s="189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4234</v>
      </c>
      <c r="B18" s="88">
        <f t="shared" si="14"/>
        <v>95254.922794916449</v>
      </c>
      <c r="C18" s="88">
        <f t="shared" si="0"/>
        <v>95998.504919087878</v>
      </c>
      <c r="D18" s="88">
        <f t="shared" si="5"/>
        <v>96091.865647144165</v>
      </c>
      <c r="E18" s="88">
        <f t="shared" si="6"/>
        <v>96185.318450699473</v>
      </c>
      <c r="F18" s="88">
        <f t="shared" si="7"/>
        <v>96278.863421826318</v>
      </c>
      <c r="G18" s="88">
        <f t="shared" si="8"/>
        <v>96372.500652686154</v>
      </c>
      <c r="H18" s="88">
        <f t="shared" si="9"/>
        <v>96466.230235538329</v>
      </c>
      <c r="I18" s="88">
        <f t="shared" si="10"/>
        <v>96560.05226273209</v>
      </c>
      <c r="J18" s="88">
        <f t="shared" si="11"/>
        <v>96653.966826711927</v>
      </c>
      <c r="K18" s="88">
        <f t="shared" si="12"/>
        <v>96747.974020018606</v>
      </c>
      <c r="L18" s="88">
        <f t="shared" si="1"/>
        <v>96185.318450699473</v>
      </c>
      <c r="M18" s="87" t="s">
        <v>4243</v>
      </c>
      <c r="N18" s="87">
        <f>300-$AD$19</f>
        <v>71</v>
      </c>
      <c r="O18" s="87">
        <v>0</v>
      </c>
      <c r="P18" s="87">
        <v>0</v>
      </c>
      <c r="Q18" s="87">
        <v>0</v>
      </c>
      <c r="R18" s="87">
        <f t="shared" si="2"/>
        <v>2.3278688524590163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1002</v>
      </c>
      <c r="AD18" t="s">
        <v>1041</v>
      </c>
      <c r="AF18" s="26"/>
    </row>
    <row r="19" spans="1:32" ht="21.75" customHeight="1">
      <c r="A19" s="12" t="s">
        <v>4235</v>
      </c>
      <c r="B19" s="57">
        <f t="shared" si="14"/>
        <v>57864.105013738372</v>
      </c>
      <c r="C19" s="57">
        <f t="shared" si="0"/>
        <v>63155.740496441256</v>
      </c>
      <c r="D19" s="57">
        <f t="shared" si="5"/>
        <v>63850.392773443782</v>
      </c>
      <c r="E19" s="57">
        <f t="shared" si="6"/>
        <v>64552.695223791787</v>
      </c>
      <c r="F19" s="57">
        <f t="shared" si="7"/>
        <v>65262.732204979948</v>
      </c>
      <c r="G19" s="57">
        <f t="shared" si="8"/>
        <v>65980.589005842514</v>
      </c>
      <c r="H19" s="57">
        <f t="shared" si="9"/>
        <v>66706.351856916881</v>
      </c>
      <c r="I19" s="57">
        <f t="shared" si="10"/>
        <v>67440.107940792746</v>
      </c>
      <c r="J19" s="57">
        <f t="shared" si="11"/>
        <v>68181.945402675832</v>
      </c>
      <c r="K19" s="57">
        <f t="shared" si="12"/>
        <v>68931.95336103921</v>
      </c>
      <c r="L19" s="57">
        <f t="shared" si="1"/>
        <v>64552.695223791787</v>
      </c>
      <c r="M19" s="12" t="s">
        <v>4244</v>
      </c>
      <c r="N19" s="12">
        <f>1028-$AD$19</f>
        <v>799</v>
      </c>
      <c r="O19" s="12">
        <v>0</v>
      </c>
      <c r="P19" s="12">
        <v>0</v>
      </c>
      <c r="Q19" s="12">
        <v>0</v>
      </c>
      <c r="R19" s="12">
        <f t="shared" si="2"/>
        <v>26.196721311475411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1050</v>
      </c>
      <c r="AD19">
        <v>229</v>
      </c>
      <c r="AF19" s="26"/>
    </row>
    <row r="20" spans="1:32" ht="22.5" customHeight="1">
      <c r="A20" s="146" t="s">
        <v>4236</v>
      </c>
      <c r="B20" s="86">
        <f t="shared" si="14"/>
        <v>82384.797317074321</v>
      </c>
      <c r="C20" s="86">
        <f t="shared" si="0"/>
        <v>84978.228586317258</v>
      </c>
      <c r="D20" s="86">
        <f t="shared" si="5"/>
        <v>85308.116220712705</v>
      </c>
      <c r="E20" s="86">
        <f t="shared" si="6"/>
        <v>85639.289030076849</v>
      </c>
      <c r="F20" s="86">
        <f t="shared" si="7"/>
        <v>85971.75203889524</v>
      </c>
      <c r="G20" s="86">
        <f t="shared" si="8"/>
        <v>86305.510291350467</v>
      </c>
      <c r="H20" s="86">
        <f t="shared" si="9"/>
        <v>86640.568851431264</v>
      </c>
      <c r="I20" s="86">
        <f t="shared" si="10"/>
        <v>86976.932802981974</v>
      </c>
      <c r="J20" s="86">
        <f t="shared" si="11"/>
        <v>87314.607249798995</v>
      </c>
      <c r="K20" s="86">
        <f t="shared" si="12"/>
        <v>87653.597315713021</v>
      </c>
      <c r="L20" s="86">
        <f t="shared" si="1"/>
        <v>85639.289030076849</v>
      </c>
      <c r="M20" s="146" t="s">
        <v>3856</v>
      </c>
      <c r="N20" s="146">
        <f>512-$AD$19</f>
        <v>283</v>
      </c>
      <c r="O20" s="146">
        <v>0</v>
      </c>
      <c r="P20" s="146">
        <v>0</v>
      </c>
      <c r="Q20" s="146">
        <v>0</v>
      </c>
      <c r="R20" s="146">
        <f t="shared" si="2"/>
        <v>9.278688524590164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8" t="s">
        <v>4237</v>
      </c>
      <c r="B21" s="189">
        <f t="shared" si="14"/>
        <v>65543.373031167139</v>
      </c>
      <c r="C21" s="189">
        <f>$S21/(1+($C$1-$O21+$P21)/36500)^$N21</f>
        <v>70125.462894555676</v>
      </c>
      <c r="D21" s="189">
        <f t="shared" si="5"/>
        <v>70720.339391261034</v>
      </c>
      <c r="E21" s="189">
        <f t="shared" si="6"/>
        <v>71320.270492205644</v>
      </c>
      <c r="F21" s="189">
        <f t="shared" si="7"/>
        <v>71925.299215941108</v>
      </c>
      <c r="G21" s="189">
        <f t="shared" si="8"/>
        <v>72535.468947707297</v>
      </c>
      <c r="H21" s="189">
        <f t="shared" si="9"/>
        <v>73150.823442621302</v>
      </c>
      <c r="I21" s="189">
        <f t="shared" si="10"/>
        <v>73771.406828783569</v>
      </c>
      <c r="J21" s="189">
        <f t="shared" si="11"/>
        <v>74397.263610495604</v>
      </c>
      <c r="K21" s="189">
        <f t="shared" si="12"/>
        <v>75028.438671480224</v>
      </c>
      <c r="L21" s="189">
        <f t="shared" si="1"/>
        <v>71320.270492205644</v>
      </c>
      <c r="M21" s="188" t="s">
        <v>4245</v>
      </c>
      <c r="N21" s="188">
        <f>846-$AD$19</f>
        <v>617</v>
      </c>
      <c r="O21" s="188">
        <v>0</v>
      </c>
      <c r="P21" s="188">
        <v>0</v>
      </c>
      <c r="Q21" s="188">
        <v>0</v>
      </c>
      <c r="R21" s="188">
        <f t="shared" si="2"/>
        <v>20.229508196721312</v>
      </c>
      <c r="S21" s="189">
        <v>100000</v>
      </c>
      <c r="T21" s="189"/>
      <c r="U21" s="189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94" t="s">
        <v>4402</v>
      </c>
      <c r="B22" s="45">
        <f t="shared" si="14"/>
        <v>80433.963986248345</v>
      </c>
      <c r="C22" s="45">
        <f>$S22/(1+($C$1-$O22+$P22)/36500)^$N22</f>
        <v>83284.619620283294</v>
      </c>
      <c r="D22" s="45">
        <f t="shared" si="5"/>
        <v>83648.005441503628</v>
      </c>
      <c r="E22" s="45">
        <f t="shared" si="6"/>
        <v>84012.981788338599</v>
      </c>
      <c r="F22" s="45">
        <f t="shared" si="7"/>
        <v>84379.555644384454</v>
      </c>
      <c r="G22" s="45">
        <f t="shared" si="8"/>
        <v>84747.734023979443</v>
      </c>
      <c r="H22" s="45">
        <f t="shared" si="9"/>
        <v>85117.523972374605</v>
      </c>
      <c r="I22" s="45">
        <f t="shared" si="10"/>
        <v>85488.932565838899</v>
      </c>
      <c r="J22" s="45">
        <f t="shared" si="11"/>
        <v>85861.966911816038</v>
      </c>
      <c r="K22" s="45">
        <f t="shared" si="12"/>
        <v>86236.634149067031</v>
      </c>
      <c r="L22" s="45">
        <f t="shared" si="1"/>
        <v>84012.981788338599</v>
      </c>
      <c r="M22" s="194" t="s">
        <v>4403</v>
      </c>
      <c r="N22" s="194">
        <f>547-$AD$19</f>
        <v>318</v>
      </c>
      <c r="O22" s="194">
        <v>0</v>
      </c>
      <c r="P22" s="194">
        <v>0</v>
      </c>
      <c r="Q22" s="194">
        <v>0</v>
      </c>
      <c r="R22" s="194">
        <f t="shared" si="2"/>
        <v>10.426229508196721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8" t="s">
        <v>4301</v>
      </c>
      <c r="B23" s="189">
        <f t="shared" si="14"/>
        <v>78960.656096634382</v>
      </c>
      <c r="C23" s="189">
        <f>$S23/(1+($C$1-$O23+$P23)/36500)^$N23</f>
        <v>82001.219096175962</v>
      </c>
      <c r="D23" s="189">
        <f t="shared" si="5"/>
        <v>82389.455079488122</v>
      </c>
      <c r="E23" s="189">
        <f t="shared" si="6"/>
        <v>82779.534524935065</v>
      </c>
      <c r="F23" s="189">
        <f t="shared" si="7"/>
        <v>83171.466211261708</v>
      </c>
      <c r="G23" s="189">
        <f t="shared" si="8"/>
        <v>83565.258959120532</v>
      </c>
      <c r="H23" s="189">
        <f t="shared" si="9"/>
        <v>83960.921631309786</v>
      </c>
      <c r="I23" s="189">
        <f t="shared" si="10"/>
        <v>84358.463132941659</v>
      </c>
      <c r="J23" s="189">
        <f t="shared" si="11"/>
        <v>84757.892411666151</v>
      </c>
      <c r="K23" s="189">
        <f t="shared" si="12"/>
        <v>85159.218457879892</v>
      </c>
      <c r="L23" s="189">
        <f t="shared" si="1"/>
        <v>82779.534524935065</v>
      </c>
      <c r="M23" s="188" t="s">
        <v>4302</v>
      </c>
      <c r="N23" s="188">
        <f>574-$AD$19</f>
        <v>345</v>
      </c>
      <c r="O23" s="188">
        <v>0</v>
      </c>
      <c r="P23" s="188"/>
      <c r="Q23" s="188">
        <v>0</v>
      </c>
      <c r="R23" s="188">
        <f t="shared" si="2"/>
        <v>11.311475409836065</v>
      </c>
      <c r="S23" s="189">
        <v>100000</v>
      </c>
      <c r="T23" s="189"/>
      <c r="U23" s="189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951</v>
      </c>
      <c r="AD23" t="s">
        <v>1051</v>
      </c>
      <c r="AE23" s="25"/>
      <c r="AF23" s="26"/>
    </row>
    <row r="24" spans="1:32">
      <c r="A24" s="87" t="s">
        <v>4238</v>
      </c>
      <c r="B24" s="88">
        <f t="shared" si="14"/>
        <v>83749.788930895913</v>
      </c>
      <c r="C24" s="88">
        <f t="shared" ref="C24:C38" si="16">$S24/(1+($C$1-$O24+$P24)/36500)^$N24</f>
        <v>86159.423163243671</v>
      </c>
      <c r="D24" s="88">
        <f t="shared" si="5"/>
        <v>86465.480700773085</v>
      </c>
      <c r="E24" s="88">
        <f t="shared" si="6"/>
        <v>86772.629635699996</v>
      </c>
      <c r="F24" s="88">
        <f t="shared" si="7"/>
        <v>87080.873874963421</v>
      </c>
      <c r="G24" s="88">
        <f t="shared" si="8"/>
        <v>87390.217339527459</v>
      </c>
      <c r="H24" s="88">
        <f t="shared" si="9"/>
        <v>87700.663964461084</v>
      </c>
      <c r="I24" s="88">
        <f t="shared" si="10"/>
        <v>88012.217698962777</v>
      </c>
      <c r="J24" s="88">
        <f t="shared" si="11"/>
        <v>88324.882506428068</v>
      </c>
      <c r="K24" s="88">
        <f t="shared" si="12"/>
        <v>88638.662364504664</v>
      </c>
      <c r="L24" s="88">
        <f t="shared" si="1"/>
        <v>86772.629635699996</v>
      </c>
      <c r="M24" s="87" t="s">
        <v>4246</v>
      </c>
      <c r="N24" s="87">
        <f>488-$AD$19</f>
        <v>259</v>
      </c>
      <c r="O24" s="87">
        <v>0</v>
      </c>
      <c r="P24" s="87">
        <v>0</v>
      </c>
      <c r="Q24" s="87">
        <v>0</v>
      </c>
      <c r="R24" s="87">
        <f t="shared" si="2"/>
        <v>8.4918032786885238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4239</v>
      </c>
      <c r="B25" s="86">
        <f t="shared" si="14"/>
        <v>81990.881673380034</v>
      </c>
      <c r="C25" s="86">
        <f t="shared" si="16"/>
        <v>84636.773767138104</v>
      </c>
      <c r="D25" s="86">
        <f t="shared" si="5"/>
        <v>84973.478987364259</v>
      </c>
      <c r="E25" s="86">
        <f t="shared" si="6"/>
        <v>85311.528338426811</v>
      </c>
      <c r="F25" s="86">
        <f t="shared" si="7"/>
        <v>85650.927204631094</v>
      </c>
      <c r="G25" s="86">
        <f t="shared" si="8"/>
        <v>85991.680991908797</v>
      </c>
      <c r="H25" s="86">
        <f t="shared" si="9"/>
        <v>86333.795127937483</v>
      </c>
      <c r="I25" s="86">
        <f t="shared" si="10"/>
        <v>86677.275062199478</v>
      </c>
      <c r="J25" s="86">
        <f t="shared" si="11"/>
        <v>87022.126266087886</v>
      </c>
      <c r="K25" s="86">
        <f t="shared" si="12"/>
        <v>87368.354232999394</v>
      </c>
      <c r="L25" s="86">
        <f t="shared" si="1"/>
        <v>85311.528338426811</v>
      </c>
      <c r="M25" s="146" t="s">
        <v>4247</v>
      </c>
      <c r="N25" s="146">
        <f>519-$AD$19</f>
        <v>290</v>
      </c>
      <c r="O25" s="146">
        <v>0</v>
      </c>
      <c r="P25" s="146">
        <v>0</v>
      </c>
      <c r="Q25" s="146">
        <v>0</v>
      </c>
      <c r="R25" s="146">
        <f t="shared" si="2"/>
        <v>9.5081967213114762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8" t="s">
        <v>1004</v>
      </c>
      <c r="B26" s="189">
        <f t="shared" si="14"/>
        <v>76090.403341232028</v>
      </c>
      <c r="C26" s="189">
        <f t="shared" si="16"/>
        <v>86478.793364214158</v>
      </c>
      <c r="D26" s="189">
        <f t="shared" si="5"/>
        <v>87873.41738578878</v>
      </c>
      <c r="E26" s="189">
        <f t="shared" si="6"/>
        <v>89290.551761047784</v>
      </c>
      <c r="F26" s="189">
        <f t="shared" si="7"/>
        <v>90730.560140980146</v>
      </c>
      <c r="G26" s="189">
        <f t="shared" si="8"/>
        <v>92193.812056476731</v>
      </c>
      <c r="H26" s="189">
        <f t="shared" si="9"/>
        <v>93680.683013418311</v>
      </c>
      <c r="I26" s="189">
        <f t="shared" si="10"/>
        <v>95191.554589233987</v>
      </c>
      <c r="J26" s="189">
        <f t="shared" si="11"/>
        <v>96726.814531451411</v>
      </c>
      <c r="K26" s="189">
        <f t="shared" si="12"/>
        <v>98286.856857243998</v>
      </c>
      <c r="L26" s="189">
        <f t="shared" si="1"/>
        <v>89290.551761047784</v>
      </c>
      <c r="M26" s="188" t="s">
        <v>1005</v>
      </c>
      <c r="N26" s="188">
        <f>1397-$AD$19</f>
        <v>1168</v>
      </c>
      <c r="O26" s="188">
        <v>17</v>
      </c>
      <c r="P26" s="188">
        <f>$AI$2</f>
        <v>0.54</v>
      </c>
      <c r="Q26" s="188">
        <v>6</v>
      </c>
      <c r="R26" s="188">
        <f t="shared" si="2"/>
        <v>38.295081967213115</v>
      </c>
      <c r="S26" s="189">
        <v>100000</v>
      </c>
      <c r="T26" s="189">
        <v>96000</v>
      </c>
      <c r="U26" s="189">
        <f t="shared" si="3"/>
        <v>169295.93927208454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961</v>
      </c>
      <c r="B27" s="88">
        <f t="shared" si="14"/>
        <v>95941.027674803423</v>
      </c>
      <c r="C27" s="88">
        <f t="shared" si="16"/>
        <v>99528.447418459575</v>
      </c>
      <c r="D27" s="88">
        <f t="shared" si="5"/>
        <v>99986.233827167467</v>
      </c>
      <c r="E27" s="88">
        <f t="shared" si="6"/>
        <v>100446.13216330147</v>
      </c>
      <c r="F27" s="88">
        <f t="shared" si="7"/>
        <v>100908.15219905232</v>
      </c>
      <c r="G27" s="88">
        <f t="shared" si="8"/>
        <v>101372.30375195396</v>
      </c>
      <c r="H27" s="88">
        <f t="shared" si="9"/>
        <v>101838.59668511109</v>
      </c>
      <c r="I27" s="88">
        <f t="shared" si="10"/>
        <v>102307.04090738948</v>
      </c>
      <c r="J27" s="88">
        <f t="shared" si="11"/>
        <v>102777.64637366115</v>
      </c>
      <c r="K27" s="88">
        <f t="shared" si="12"/>
        <v>103250.42308499156</v>
      </c>
      <c r="L27" s="88">
        <f t="shared" si="1"/>
        <v>100446.13216330147</v>
      </c>
      <c r="M27" s="87" t="s">
        <v>976</v>
      </c>
      <c r="N27" s="87">
        <f>564-$AD$19</f>
        <v>335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10.983606557377049</v>
      </c>
      <c r="S27" s="88">
        <v>100000</v>
      </c>
      <c r="T27" s="88">
        <v>100000</v>
      </c>
      <c r="U27" s="88">
        <f t="shared" si="3"/>
        <v>120675.75268815762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962</v>
      </c>
      <c r="B28" s="57">
        <f t="shared" si="14"/>
        <v>91233.399113367268</v>
      </c>
      <c r="C28" s="57">
        <f t="shared" si="16"/>
        <v>94820.767358526282</v>
      </c>
      <c r="D28" s="57">
        <f t="shared" si="5"/>
        <v>95279.02315152534</v>
      </c>
      <c r="E28" s="57">
        <f t="shared" si="6"/>
        <v>95739.499954278886</v>
      </c>
      <c r="F28" s="57">
        <f t="shared" si="7"/>
        <v>96202.208561889362</v>
      </c>
      <c r="G28" s="57">
        <f t="shared" si="8"/>
        <v>96667.159822109912</v>
      </c>
      <c r="H28" s="57">
        <f t="shared" si="9"/>
        <v>97134.364635542093</v>
      </c>
      <c r="I28" s="57">
        <f t="shared" si="10"/>
        <v>97603.833955938579</v>
      </c>
      <c r="J28" s="57">
        <f t="shared" si="11"/>
        <v>98075.57879044833</v>
      </c>
      <c r="K28" s="57">
        <f t="shared" si="12"/>
        <v>98549.610199856164</v>
      </c>
      <c r="L28" s="57">
        <f t="shared" si="1"/>
        <v>95739.499954278886</v>
      </c>
      <c r="M28" s="12" t="s">
        <v>977</v>
      </c>
      <c r="N28" s="12">
        <f>581-$AD$19</f>
        <v>352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11.540983606557377</v>
      </c>
      <c r="S28" s="57">
        <v>100000</v>
      </c>
      <c r="T28" s="57">
        <v>92000</v>
      </c>
      <c r="U28" s="57">
        <f t="shared" si="3"/>
        <v>116097.97066995026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955</v>
      </c>
      <c r="B29" s="86">
        <f t="shared" si="14"/>
        <v>95125.686219859272</v>
      </c>
      <c r="C29" s="86">
        <f t="shared" si="16"/>
        <v>99431.598174836108</v>
      </c>
      <c r="D29" s="86">
        <f t="shared" si="5"/>
        <v>99983.39864186557</v>
      </c>
      <c r="E29" s="86">
        <f t="shared" si="6"/>
        <v>100538.26897425165</v>
      </c>
      <c r="F29" s="86">
        <f t="shared" si="7"/>
        <v>101096.22629317646</v>
      </c>
      <c r="G29" s="86">
        <f t="shared" si="8"/>
        <v>101657.28781553583</v>
      </c>
      <c r="H29" s="86">
        <f t="shared" si="9"/>
        <v>102221.47085449549</v>
      </c>
      <c r="I29" s="86">
        <f t="shared" si="10"/>
        <v>102788.79282000434</v>
      </c>
      <c r="J29" s="86">
        <f t="shared" si="11"/>
        <v>103359.27121937585</v>
      </c>
      <c r="K29" s="86">
        <f t="shared" si="12"/>
        <v>103932.92365780124</v>
      </c>
      <c r="L29" s="86">
        <f t="shared" si="1"/>
        <v>100538.26897425165</v>
      </c>
      <c r="M29" s="146" t="s">
        <v>978</v>
      </c>
      <c r="N29" s="146">
        <f>633-$AD$19</f>
        <v>404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13.245901639344263</v>
      </c>
      <c r="S29" s="86">
        <v>100000</v>
      </c>
      <c r="T29" s="86">
        <v>100000</v>
      </c>
      <c r="U29" s="86">
        <f t="shared" si="3"/>
        <v>125438.63032171417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948</v>
      </c>
      <c r="B30" s="90">
        <f t="shared" si="14"/>
        <v>94328.940748228561</v>
      </c>
      <c r="C30" s="94">
        <f t="shared" si="16"/>
        <v>99336.244747188539</v>
      </c>
      <c r="D30" s="90">
        <f t="shared" si="5"/>
        <v>99980.604624860338</v>
      </c>
      <c r="E30" s="90">
        <f t="shared" si="6"/>
        <v>100629.15315520199</v>
      </c>
      <c r="F30" s="90">
        <f t="shared" si="7"/>
        <v>101281.91762444183</v>
      </c>
      <c r="G30" s="90">
        <f t="shared" si="8"/>
        <v>101938.92549692433</v>
      </c>
      <c r="H30" s="90">
        <f t="shared" si="9"/>
        <v>102600.20441629854</v>
      </c>
      <c r="I30" s="90">
        <f t="shared" si="10"/>
        <v>103265.78220666024</v>
      </c>
      <c r="J30" s="90">
        <f t="shared" si="11"/>
        <v>103935.68687377821</v>
      </c>
      <c r="K30" s="90">
        <f t="shared" si="12"/>
        <v>104609.94660624435</v>
      </c>
      <c r="L30" s="92">
        <f t="shared" si="1"/>
        <v>100629.15315520199</v>
      </c>
      <c r="M30" s="91" t="s">
        <v>979</v>
      </c>
      <c r="N30" s="91">
        <f>701-$AD$19</f>
        <v>472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15.475409836065573</v>
      </c>
      <c r="S30" s="92">
        <v>100000</v>
      </c>
      <c r="T30" s="92">
        <v>100000</v>
      </c>
      <c r="U30" s="92">
        <f t="shared" si="3"/>
        <v>130316.36228481274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963</v>
      </c>
      <c r="B31" s="90">
        <f t="shared" si="14"/>
        <v>90237.171763736653</v>
      </c>
      <c r="C31" s="94">
        <f t="shared" si="16"/>
        <v>95308.415882800298</v>
      </c>
      <c r="D31" s="90">
        <f t="shared" si="5"/>
        <v>95962.080741577156</v>
      </c>
      <c r="E31" s="90">
        <f t="shared" si="6"/>
        <v>96620.237752412853</v>
      </c>
      <c r="F31" s="90">
        <f t="shared" si="7"/>
        <v>97282.91784870367</v>
      </c>
      <c r="G31" s="90">
        <f t="shared" si="8"/>
        <v>97950.152177257711</v>
      </c>
      <c r="H31" s="90">
        <f t="shared" si="9"/>
        <v>98621.972099826395</v>
      </c>
      <c r="I31" s="90">
        <f t="shared" si="10"/>
        <v>99298.409194525535</v>
      </c>
      <c r="J31" s="90">
        <f t="shared" si="11"/>
        <v>99979.495257410992</v>
      </c>
      <c r="K31" s="90">
        <f t="shared" si="12"/>
        <v>100665.26230390256</v>
      </c>
      <c r="L31" s="94">
        <f t="shared" si="1"/>
        <v>96620.237752412853</v>
      </c>
      <c r="M31" s="93" t="s">
        <v>1003</v>
      </c>
      <c r="N31" s="93">
        <f>728-$AD$19</f>
        <v>499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16.360655737704917</v>
      </c>
      <c r="S31" s="94">
        <v>100000</v>
      </c>
      <c r="T31" s="94">
        <v>95000</v>
      </c>
      <c r="U31" s="94">
        <f t="shared" si="3"/>
        <v>126989.61012826674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964</v>
      </c>
      <c r="B32" s="86">
        <f t="shared" si="14"/>
        <v>89118.100506725488</v>
      </c>
      <c r="C32" s="86">
        <f t="shared" si="16"/>
        <v>93540.158554500464</v>
      </c>
      <c r="D32" s="86">
        <f t="shared" si="5"/>
        <v>94108.160895289664</v>
      </c>
      <c r="E32" s="86">
        <f t="shared" si="6"/>
        <v>94679.620158003017</v>
      </c>
      <c r="F32" s="86">
        <f t="shared" si="7"/>
        <v>95254.557429590437</v>
      </c>
      <c r="G32" s="86">
        <f t="shared" si="8"/>
        <v>95832.993925962917</v>
      </c>
      <c r="H32" s="86">
        <f t="shared" si="9"/>
        <v>96414.950992708153</v>
      </c>
      <c r="I32" s="86">
        <f t="shared" si="10"/>
        <v>97000.450105940748</v>
      </c>
      <c r="J32" s="86">
        <f t="shared" si="11"/>
        <v>97589.512873083848</v>
      </c>
      <c r="K32" s="86">
        <f t="shared" si="12"/>
        <v>98182.161033646524</v>
      </c>
      <c r="L32" s="86">
        <f t="shared" si="1"/>
        <v>94679.620158003017</v>
      </c>
      <c r="M32" s="146" t="s">
        <v>980</v>
      </c>
      <c r="N32" s="146">
        <f>671-$AD$19</f>
        <v>442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14.491803278688524</v>
      </c>
      <c r="S32" s="86">
        <v>100000</v>
      </c>
      <c r="T32" s="86">
        <v>90600</v>
      </c>
      <c r="U32" s="86">
        <f t="shared" si="3"/>
        <v>120614.38519755971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965</v>
      </c>
      <c r="B33" s="90">
        <f t="shared" si="14"/>
        <v>80390.318703150551</v>
      </c>
      <c r="C33" s="94">
        <f t="shared" si="16"/>
        <v>87332.588812632224</v>
      </c>
      <c r="D33" s="90">
        <f t="shared" si="5"/>
        <v>88241.561428682908</v>
      </c>
      <c r="E33" s="90">
        <f t="shared" si="6"/>
        <v>89160.007432686107</v>
      </c>
      <c r="F33" s="90">
        <f t="shared" si="7"/>
        <v>90088.025688868467</v>
      </c>
      <c r="G33" s="90">
        <f t="shared" si="8"/>
        <v>91025.716094597228</v>
      </c>
      <c r="H33" s="90">
        <f t="shared" si="9"/>
        <v>91973.179591108419</v>
      </c>
      <c r="I33" s="90">
        <f t="shared" si="10"/>
        <v>92930.518174565805</v>
      </c>
      <c r="J33" s="90">
        <f t="shared" si="11"/>
        <v>93897.83490695912</v>
      </c>
      <c r="K33" s="90">
        <f t="shared" si="12"/>
        <v>94875.233927378227</v>
      </c>
      <c r="L33" s="92">
        <f t="shared" si="1"/>
        <v>89160.007432686107</v>
      </c>
      <c r="M33" s="91" t="s">
        <v>981</v>
      </c>
      <c r="N33" s="91">
        <f>985-$AD$19</f>
        <v>756</v>
      </c>
      <c r="O33" s="91">
        <v>15</v>
      </c>
      <c r="P33" s="91">
        <f>$AI$2</f>
        <v>0.54</v>
      </c>
      <c r="Q33" s="91">
        <v>6</v>
      </c>
      <c r="R33" s="91">
        <f t="shared" si="2"/>
        <v>24.78688524590164</v>
      </c>
      <c r="S33" s="92">
        <v>100000</v>
      </c>
      <c r="T33" s="92">
        <v>85800</v>
      </c>
      <c r="U33" s="92">
        <f t="shared" si="3"/>
        <v>134898.78052419753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939</v>
      </c>
      <c r="B34" s="90">
        <f t="shared" si="14"/>
        <v>91233.374765596178</v>
      </c>
      <c r="C34" s="94">
        <f t="shared" si="16"/>
        <v>92582.159892595446</v>
      </c>
      <c r="D34" s="90">
        <f t="shared" si="5"/>
        <v>92752.164564682098</v>
      </c>
      <c r="E34" s="90">
        <f t="shared" si="6"/>
        <v>92922.483743049743</v>
      </c>
      <c r="F34" s="90">
        <f t="shared" si="7"/>
        <v>93093.118013852407</v>
      </c>
      <c r="G34" s="90">
        <f t="shared" si="8"/>
        <v>93264.067964336413</v>
      </c>
      <c r="H34" s="90">
        <f t="shared" si="9"/>
        <v>93435.334182858845</v>
      </c>
      <c r="I34" s="90">
        <f t="shared" si="10"/>
        <v>93606.917258874921</v>
      </c>
      <c r="J34" s="90">
        <f t="shared" si="11"/>
        <v>93778.817782949322</v>
      </c>
      <c r="K34" s="90">
        <f t="shared" si="12"/>
        <v>93951.036346760433</v>
      </c>
      <c r="L34" s="94">
        <f t="shared" si="1"/>
        <v>92922.483743049743</v>
      </c>
      <c r="M34" s="93" t="s">
        <v>982</v>
      </c>
      <c r="N34" s="93">
        <f>363-$AD$19</f>
        <v>134</v>
      </c>
      <c r="O34" s="93">
        <v>0</v>
      </c>
      <c r="P34" s="93">
        <v>0</v>
      </c>
      <c r="Q34" s="93">
        <v>0</v>
      </c>
      <c r="R34" s="93">
        <f t="shared" si="2"/>
        <v>4.3934426229508201</v>
      </c>
      <c r="S34" s="94">
        <v>100000</v>
      </c>
      <c r="T34" s="94">
        <v>82800</v>
      </c>
      <c r="U34" s="94">
        <f>B34*(1+$AC$2/36500)^N34</f>
        <v>99999.999999999985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970</v>
      </c>
      <c r="B35" s="90">
        <f>$S35/(1+($B$1-$O35+$P35)/36500)^$N35</f>
        <v>85385.674441295938</v>
      </c>
      <c r="C35" s="94">
        <f t="shared" si="16"/>
        <v>95702.983037842845</v>
      </c>
      <c r="D35" s="90">
        <f t="shared" si="5"/>
        <v>97077.462151464468</v>
      </c>
      <c r="E35" s="90">
        <f t="shared" si="6"/>
        <v>98471.700666695047</v>
      </c>
      <c r="F35" s="90">
        <f t="shared" si="7"/>
        <v>99885.982919657734</v>
      </c>
      <c r="G35" s="90">
        <f t="shared" si="8"/>
        <v>101320.59734199058</v>
      </c>
      <c r="H35" s="90">
        <f t="shared" si="9"/>
        <v>102775.83651996375</v>
      </c>
      <c r="I35" s="90">
        <f t="shared" si="10"/>
        <v>104251.99725433382</v>
      </c>
      <c r="J35" s="90">
        <f t="shared" si="11"/>
        <v>105749.38062111128</v>
      </c>
      <c r="K35" s="90">
        <f t="shared" si="12"/>
        <v>107268.29203325376</v>
      </c>
      <c r="L35" s="90">
        <f t="shared" si="1"/>
        <v>98471.700666695047</v>
      </c>
      <c r="M35" s="89" t="s">
        <v>973</v>
      </c>
      <c r="N35" s="89">
        <f>1270-$AD$19</f>
        <v>1041</v>
      </c>
      <c r="O35" s="89">
        <v>20</v>
      </c>
      <c r="P35" s="89">
        <f>$AI$2</f>
        <v>0.54</v>
      </c>
      <c r="Q35" s="89">
        <v>6</v>
      </c>
      <c r="R35" s="89">
        <f t="shared" si="2"/>
        <v>34.131147540983605</v>
      </c>
      <c r="S35" s="90">
        <v>100000</v>
      </c>
      <c r="T35" s="90">
        <v>100000</v>
      </c>
      <c r="U35" s="90">
        <f t="shared" si="3"/>
        <v>174155.39361713856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974</v>
      </c>
      <c r="B36" s="86">
        <f t="shared" si="14"/>
        <v>98803.506433347735</v>
      </c>
      <c r="C36" s="86">
        <f t="shared" si="16"/>
        <v>100166.23501139537</v>
      </c>
      <c r="D36" s="86">
        <f t="shared" si="5"/>
        <v>100337.90292798712</v>
      </c>
      <c r="E36" s="86">
        <f t="shared" si="6"/>
        <v>100509.86741197761</v>
      </c>
      <c r="F36" s="86">
        <f t="shared" si="7"/>
        <v>100682.12897978119</v>
      </c>
      <c r="G36" s="86">
        <f t="shared" si="8"/>
        <v>100854.68814871323</v>
      </c>
      <c r="H36" s="86">
        <f t="shared" si="9"/>
        <v>101027.54543700365</v>
      </c>
      <c r="I36" s="86">
        <f t="shared" si="10"/>
        <v>101200.70136378854</v>
      </c>
      <c r="J36" s="86">
        <f t="shared" si="11"/>
        <v>101374.15644911485</v>
      </c>
      <c r="K36" s="86">
        <f t="shared" si="12"/>
        <v>101547.91121394311</v>
      </c>
      <c r="L36" s="86">
        <f t="shared" si="1"/>
        <v>100509.86741197761</v>
      </c>
      <c r="M36" s="146" t="s">
        <v>975</v>
      </c>
      <c r="N36" s="146">
        <f>354-$AD$19</f>
        <v>125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4.0983606557377046</v>
      </c>
      <c r="S36" s="86">
        <v>100000</v>
      </c>
      <c r="T36" s="86">
        <v>103000</v>
      </c>
      <c r="U36" s="86">
        <f t="shared" si="3"/>
        <v>107632.23938422622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8" t="s">
        <v>996</v>
      </c>
      <c r="B37" s="189">
        <f t="shared" si="14"/>
        <v>94192.244493389342</v>
      </c>
      <c r="C37" s="189">
        <f t="shared" si="16"/>
        <v>100000</v>
      </c>
      <c r="D37" s="189">
        <f t="shared" si="5"/>
        <v>100750.75446372948</v>
      </c>
      <c r="E37" s="189">
        <f t="shared" si="6"/>
        <v>101507.15565063358</v>
      </c>
      <c r="F37" s="189">
        <f t="shared" si="7"/>
        <v>102269.24611020349</v>
      </c>
      <c r="G37" s="189">
        <f t="shared" si="8"/>
        <v>103037.06871311093</v>
      </c>
      <c r="H37" s="189">
        <f t="shared" si="9"/>
        <v>103810.66665371189</v>
      </c>
      <c r="I37" s="189">
        <f t="shared" si="10"/>
        <v>104590.08345241382</v>
      </c>
      <c r="J37" s="189">
        <f t="shared" si="11"/>
        <v>105375.3629581948</v>
      </c>
      <c r="K37" s="189">
        <f t="shared" si="12"/>
        <v>106166.54935105896</v>
      </c>
      <c r="L37" s="189">
        <f t="shared" si="1"/>
        <v>101507.15565063358</v>
      </c>
      <c r="M37" s="188" t="s">
        <v>997</v>
      </c>
      <c r="N37" s="188">
        <f>775-$AD$19</f>
        <v>546</v>
      </c>
      <c r="O37" s="188">
        <v>21</v>
      </c>
      <c r="P37" s="188">
        <v>0</v>
      </c>
      <c r="Q37" s="188">
        <v>1</v>
      </c>
      <c r="R37" s="188">
        <f t="shared" si="2"/>
        <v>17.901639344262296</v>
      </c>
      <c r="S37" s="189">
        <v>100000</v>
      </c>
      <c r="T37" s="189">
        <v>104000</v>
      </c>
      <c r="U37" s="189">
        <f t="shared" si="3"/>
        <v>136890.65060522908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1045</v>
      </c>
      <c r="B38" s="88">
        <f t="shared" si="14"/>
        <v>77274.385553218643</v>
      </c>
      <c r="C38" s="88">
        <f t="shared" si="16"/>
        <v>87191.602530312055</v>
      </c>
      <c r="D38" s="88">
        <f t="shared" si="5"/>
        <v>88517.665419571422</v>
      </c>
      <c r="E38" s="88">
        <f t="shared" si="6"/>
        <v>89863.914458413987</v>
      </c>
      <c r="F38" s="88">
        <f t="shared" si="7"/>
        <v>91230.657215676882</v>
      </c>
      <c r="G38" s="88">
        <f t="shared" si="8"/>
        <v>92618.205950893243</v>
      </c>
      <c r="H38" s="88">
        <f t="shared" si="9"/>
        <v>94026.877685831671</v>
      </c>
      <c r="I38" s="88">
        <f t="shared" si="10"/>
        <v>95456.994277062768</v>
      </c>
      <c r="J38" s="88">
        <f t="shared" si="11"/>
        <v>96908.882490039279</v>
      </c>
      <c r="K38" s="88">
        <f t="shared" si="12"/>
        <v>98382.874073741419</v>
      </c>
      <c r="L38" s="88">
        <f t="shared" si="1"/>
        <v>89863.914458413987</v>
      </c>
      <c r="M38" s="87" t="s">
        <v>1046</v>
      </c>
      <c r="N38" s="87">
        <f>1331-$AD$19</f>
        <v>1102</v>
      </c>
      <c r="O38" s="87">
        <v>17</v>
      </c>
      <c r="P38" s="87">
        <f>AI2</f>
        <v>0.54</v>
      </c>
      <c r="Q38" s="87">
        <v>6</v>
      </c>
      <c r="R38" s="87">
        <f t="shared" si="2"/>
        <v>36.131147540983605</v>
      </c>
      <c r="S38" s="88">
        <v>100000</v>
      </c>
      <c r="T38" s="88"/>
      <c r="U38" s="88">
        <f t="shared" si="3"/>
        <v>164333.62887516356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4040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1106</v>
      </c>
      <c r="E50">
        <v>7.2499999999999995E-2</v>
      </c>
      <c r="AD50" s="25"/>
      <c r="AE50" s="26"/>
    </row>
    <row r="51" spans="1:31">
      <c r="D51" t="s">
        <v>1107</v>
      </c>
      <c r="E51">
        <v>7.2499999999999995E-2</v>
      </c>
      <c r="AD51" s="25"/>
      <c r="AE51" s="26"/>
    </row>
    <row r="52" spans="1:31">
      <c r="D52" t="s">
        <v>1108</v>
      </c>
      <c r="E52">
        <v>0.125</v>
      </c>
      <c r="AD52" s="25"/>
      <c r="AE52" s="26"/>
    </row>
    <row r="53" spans="1:31">
      <c r="D53" t="s">
        <v>3787</v>
      </c>
      <c r="E53">
        <v>0.49</v>
      </c>
      <c r="AD53" s="25"/>
      <c r="AE53" s="26"/>
    </row>
    <row r="54" spans="1:31">
      <c r="D54" t="s">
        <v>3788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4230</v>
      </c>
      <c r="AD63" s="25"/>
      <c r="AE63" s="26"/>
    </row>
    <row r="64" spans="1:31">
      <c r="A64">
        <v>611</v>
      </c>
      <c r="B64" t="s">
        <v>4222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4223</v>
      </c>
      <c r="AD66" s="25"/>
      <c r="AE66" s="26"/>
    </row>
    <row r="67" spans="1:31">
      <c r="A67">
        <v>702</v>
      </c>
      <c r="B67" t="s">
        <v>4224</v>
      </c>
      <c r="AD67" s="25"/>
      <c r="AE67" s="26"/>
    </row>
    <row r="68" spans="1:31">
      <c r="A68">
        <v>704</v>
      </c>
      <c r="B68" t="s">
        <v>4225</v>
      </c>
      <c r="AD68" s="25"/>
      <c r="AE68" s="26"/>
    </row>
    <row r="69" spans="1:31">
      <c r="A69">
        <v>705</v>
      </c>
      <c r="B69" t="s">
        <v>4226</v>
      </c>
      <c r="AD69" s="25"/>
      <c r="AE69" s="26"/>
    </row>
    <row r="70" spans="1:31">
      <c r="A70">
        <v>706</v>
      </c>
      <c r="B70" t="s">
        <v>4227</v>
      </c>
      <c r="AD70" s="25"/>
      <c r="AE70" s="26"/>
    </row>
    <row r="71" spans="1:31">
      <c r="A71" s="25">
        <v>711</v>
      </c>
      <c r="B71" s="25" t="s">
        <v>4228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4229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1058</v>
      </c>
    </row>
    <row r="2" spans="1:1">
      <c r="A2" t="s">
        <v>1059</v>
      </c>
    </row>
    <row r="3" spans="1:1">
      <c r="A3" t="s">
        <v>1060</v>
      </c>
    </row>
    <row r="4" spans="1:1">
      <c r="A4" t="s">
        <v>1061</v>
      </c>
    </row>
    <row r="5" spans="1:1">
      <c r="A5" t="s">
        <v>1062</v>
      </c>
    </row>
    <row r="6" spans="1:1">
      <c r="A6" t="s">
        <v>1089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10" sqref="B10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1113</v>
      </c>
      <c r="B1" s="99">
        <v>24</v>
      </c>
      <c r="C1" s="99"/>
      <c r="D1" s="99"/>
      <c r="F1" s="99" t="s">
        <v>1243</v>
      </c>
      <c r="G1" s="99" t="s">
        <v>1244</v>
      </c>
      <c r="I1" s="99" t="s">
        <v>1165</v>
      </c>
      <c r="J1" s="99"/>
      <c r="U1" s="96"/>
      <c r="V1" s="96"/>
      <c r="W1" s="96"/>
      <c r="X1" s="96"/>
      <c r="Y1" s="96"/>
      <c r="Z1" s="96"/>
    </row>
    <row r="2" spans="1:35">
      <c r="A2" s="99" t="s">
        <v>1112</v>
      </c>
      <c r="B2" s="99">
        <v>21.6</v>
      </c>
      <c r="C2" s="99"/>
      <c r="D2" s="99"/>
      <c r="F2" s="132">
        <v>-0.1</v>
      </c>
      <c r="G2" s="132">
        <v>-0.44</v>
      </c>
      <c r="I2" s="99" t="s">
        <v>3961</v>
      </c>
      <c r="J2" s="99" t="s">
        <v>3688</v>
      </c>
      <c r="L2" s="99" t="s">
        <v>3697</v>
      </c>
      <c r="M2" s="99"/>
      <c r="U2" s="96"/>
      <c r="V2" s="96"/>
      <c r="W2" s="96"/>
      <c r="X2" s="96"/>
      <c r="Y2" s="96"/>
      <c r="Z2" s="96"/>
    </row>
    <row r="3" spans="1:35">
      <c r="A3" s="99" t="s">
        <v>1114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1136</v>
      </c>
      <c r="J3" s="99" t="s">
        <v>3689</v>
      </c>
      <c r="L3" s="99" t="s">
        <v>3698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1115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3684</v>
      </c>
      <c r="J4" s="99" t="s">
        <v>3685</v>
      </c>
      <c r="L4" s="99" t="s">
        <v>3704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1116</v>
      </c>
      <c r="B5" s="99">
        <v>1202</v>
      </c>
      <c r="C5" s="99"/>
      <c r="D5" s="99"/>
      <c r="F5" s="132">
        <v>0.2</v>
      </c>
      <c r="G5" s="132">
        <v>0.46</v>
      </c>
      <c r="I5" s="99"/>
      <c r="J5" s="99"/>
      <c r="L5" s="99" t="s">
        <v>3708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1117</v>
      </c>
      <c r="B6" s="99">
        <v>13800</v>
      </c>
      <c r="C6" s="99"/>
      <c r="D6" s="99"/>
      <c r="F6" s="132">
        <v>0.25</v>
      </c>
      <c r="G6" s="132">
        <v>0.61</v>
      </c>
      <c r="I6" s="99"/>
      <c r="J6" s="99"/>
      <c r="L6" s="99" t="s">
        <v>3711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1119</v>
      </c>
      <c r="B7" s="99">
        <v>5000</v>
      </c>
      <c r="C7" s="99"/>
      <c r="D7" s="99"/>
      <c r="F7" s="132">
        <v>0.5</v>
      </c>
      <c r="G7" s="132">
        <v>1.36</v>
      </c>
      <c r="I7" s="99" t="s">
        <v>3686</v>
      </c>
      <c r="J7" s="99" t="s">
        <v>3679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4265</v>
      </c>
      <c r="B8" s="95">
        <f>B2*B4*B5*B6/(B1*B3)+B7</f>
        <v>3909059.6694533755</v>
      </c>
      <c r="C8" s="99">
        <f>B2*B4*B5/(B1*B3)+B7/B6</f>
        <v>283.26519343865039</v>
      </c>
      <c r="D8" s="99" t="s">
        <v>4268</v>
      </c>
      <c r="I8" s="99" t="s">
        <v>3884</v>
      </c>
      <c r="J8" s="99" t="s">
        <v>3680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4266</v>
      </c>
      <c r="B9" s="95">
        <v>4380000</v>
      </c>
      <c r="C9" s="99"/>
      <c r="D9" s="99"/>
      <c r="I9" s="99" t="s">
        <v>3690</v>
      </c>
      <c r="J9" s="99" t="s">
        <v>3691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4267</v>
      </c>
      <c r="B10" s="95">
        <f>B9-B8</f>
        <v>470940.33054662449</v>
      </c>
      <c r="C10" s="99"/>
      <c r="D10" s="99"/>
      <c r="I10" s="59">
        <v>35679</v>
      </c>
      <c r="J10" s="69" t="s">
        <v>3722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4174</v>
      </c>
      <c r="J11" s="69" t="s">
        <v>4173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3692</v>
      </c>
      <c r="J13" s="99" t="s">
        <v>3693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3885</v>
      </c>
      <c r="J14" s="99" t="s">
        <v>3683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3694</v>
      </c>
      <c r="J16" s="99" t="s">
        <v>3695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3687</v>
      </c>
      <c r="J17" s="99" t="s">
        <v>3696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3723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196" t="s">
        <v>1090</v>
      </c>
      <c r="R21" s="196"/>
      <c r="S21" s="196"/>
      <c r="T21" s="196"/>
      <c r="U21" s="96"/>
      <c r="V21" s="96"/>
      <c r="W21" s="96"/>
      <c r="X21" s="96"/>
      <c r="Y21" s="96"/>
      <c r="Z21" s="96"/>
    </row>
    <row r="22" spans="5:35">
      <c r="O22" s="99"/>
      <c r="P22" s="99"/>
      <c r="Q22" s="196"/>
      <c r="R22" s="196"/>
      <c r="S22" s="196"/>
      <c r="T22" s="196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4091</v>
      </c>
      <c r="Q23" s="197" t="s">
        <v>1091</v>
      </c>
      <c r="R23" s="198" t="s">
        <v>1092</v>
      </c>
      <c r="S23" s="197" t="s">
        <v>1093</v>
      </c>
      <c r="T23" s="199" t="s">
        <v>1094</v>
      </c>
      <c r="AD23" t="s">
        <v>25</v>
      </c>
    </row>
    <row r="24" spans="5:35">
      <c r="O24" s="99"/>
      <c r="P24" s="99"/>
      <c r="Q24" s="197"/>
      <c r="R24" s="198"/>
      <c r="S24" s="197"/>
      <c r="T24" s="199"/>
    </row>
    <row r="25" spans="5:35">
      <c r="O25" s="174" t="s">
        <v>4149</v>
      </c>
      <c r="P25" s="174">
        <v>2182188507</v>
      </c>
      <c r="Q25" s="175" t="s">
        <v>1095</v>
      </c>
      <c r="R25" s="175" t="s">
        <v>4092</v>
      </c>
      <c r="S25" s="175" t="s">
        <v>4097</v>
      </c>
      <c r="T25" s="175" t="s">
        <v>1096</v>
      </c>
    </row>
    <row r="26" spans="5:35">
      <c r="O26" s="174"/>
      <c r="P26" s="174">
        <v>2123095122</v>
      </c>
      <c r="Q26" s="176" t="s">
        <v>1097</v>
      </c>
      <c r="R26" s="176" t="s">
        <v>1098</v>
      </c>
      <c r="S26" s="176" t="s">
        <v>1099</v>
      </c>
      <c r="T26" s="176" t="s">
        <v>1100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4212</v>
      </c>
      <c r="P27" s="174">
        <v>2188831909</v>
      </c>
      <c r="Q27" s="99" t="s">
        <v>4094</v>
      </c>
      <c r="R27" s="99" t="s">
        <v>4095</v>
      </c>
      <c r="S27" s="99" t="s">
        <v>4096</v>
      </c>
      <c r="T27" s="177" t="s">
        <v>4098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4084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3881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3857</v>
      </c>
      <c r="B90" s="99" t="s">
        <v>3880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3858</v>
      </c>
      <c r="B91" s="89">
        <f>116-'اوراق بدون ریسک'!$AD$19</f>
        <v>-113</v>
      </c>
      <c r="C91" s="142">
        <f>$B$89/(1+(C$90/36500))^$B91</f>
        <v>3171880.342186668</v>
      </c>
      <c r="D91" s="142">
        <f>$B$89/(1+(D$90/36500))^$B91</f>
        <v>3181710.3622695059</v>
      </c>
      <c r="E91" s="142">
        <f t="shared" ref="E91:K106" si="0">$B$89/(1+(E$90/36500))^$B91</f>
        <v>3191570.5762853157</v>
      </c>
      <c r="F91" s="142">
        <f t="shared" si="0"/>
        <v>3201461.0761473295</v>
      </c>
      <c r="G91" s="142">
        <f t="shared" si="0"/>
        <v>3211381.9540459011</v>
      </c>
      <c r="H91" s="142">
        <f t="shared" si="0"/>
        <v>3221333.3024498303</v>
      </c>
      <c r="I91" s="142">
        <f t="shared" si="0"/>
        <v>3231315.214106557</v>
      </c>
      <c r="J91" s="142">
        <f t="shared" si="0"/>
        <v>3241327.7820432899</v>
      </c>
      <c r="K91" s="142">
        <f>$B$89/(1+(K$90/36500))^$B91</f>
        <v>3251371.099567919</v>
      </c>
      <c r="L91" s="142">
        <f>$B$89/(1+(L$90/36500))^$B91</f>
        <v>3261445.2602697858</v>
      </c>
    </row>
    <row r="92" spans="1:12">
      <c r="A92" s="143" t="s">
        <v>3859</v>
      </c>
      <c r="B92" s="91">
        <f>120-'اوراق بدون ریسک'!$AD$19</f>
        <v>-109</v>
      </c>
      <c r="C92" s="144">
        <f t="shared" ref="C92:K112" si="1">$B$89/(1+(C$90/36500))^$B92</f>
        <v>3165631.1886686864</v>
      </c>
      <c r="D92" s="144">
        <f t="shared" si="1"/>
        <v>3175094.0436223717</v>
      </c>
      <c r="E92" s="144">
        <f t="shared" si="0"/>
        <v>3184584.9251106181</v>
      </c>
      <c r="F92" s="144">
        <f t="shared" si="0"/>
        <v>3194103.9153699507</v>
      </c>
      <c r="G92" s="144">
        <f t="shared" si="0"/>
        <v>3203651.0968758012</v>
      </c>
      <c r="H92" s="144">
        <f t="shared" si="0"/>
        <v>3213226.5523436652</v>
      </c>
      <c r="I92" s="144">
        <f t="shared" si="0"/>
        <v>3222830.3647291814</v>
      </c>
      <c r="J92" s="144">
        <f t="shared" si="0"/>
        <v>3232462.6172291138</v>
      </c>
      <c r="K92" s="144">
        <f t="shared" si="0"/>
        <v>3242123.3932821117</v>
      </c>
      <c r="L92" s="144">
        <f t="shared" ref="L92:L112" si="2">$B$89/(1+(L$90/36500))^$B92</f>
        <v>3251812.7765693441</v>
      </c>
    </row>
    <row r="93" spans="1:12">
      <c r="A93" s="145" t="s">
        <v>3860</v>
      </c>
      <c r="B93" s="146">
        <f>137-'اوراق بدون ریسک'!$AD$19</f>
        <v>-92</v>
      </c>
      <c r="C93" s="147">
        <f t="shared" si="1"/>
        <v>3139209.3481747452</v>
      </c>
      <c r="D93" s="147">
        <f t="shared" si="1"/>
        <v>3147127.8376424043</v>
      </c>
      <c r="E93" s="147">
        <f t="shared" si="0"/>
        <v>3155066.0834308057</v>
      </c>
      <c r="F93" s="147">
        <f t="shared" si="0"/>
        <v>3163024.134288203</v>
      </c>
      <c r="G93" s="147">
        <f t="shared" si="0"/>
        <v>3171002.0390816759</v>
      </c>
      <c r="H93" s="147">
        <f t="shared" si="0"/>
        <v>3178999.8467978234</v>
      </c>
      <c r="I93" s="147">
        <f t="shared" si="0"/>
        <v>3187017.6065425333</v>
      </c>
      <c r="J93" s="147">
        <f t="shared" si="0"/>
        <v>3195055.3675415115</v>
      </c>
      <c r="K93" s="147">
        <f t="shared" si="0"/>
        <v>3203113.179140633</v>
      </c>
      <c r="L93" s="147">
        <f t="shared" si="2"/>
        <v>3211191.0908061699</v>
      </c>
    </row>
    <row r="94" spans="1:12">
      <c r="A94" s="148" t="s">
        <v>3861</v>
      </c>
      <c r="B94" s="149">
        <f>116-'اوراق بدون ریسک'!$AD$19</f>
        <v>-113</v>
      </c>
      <c r="C94" s="150">
        <f t="shared" si="1"/>
        <v>3171880.342186668</v>
      </c>
      <c r="D94" s="150">
        <f t="shared" si="1"/>
        <v>3181710.3622695059</v>
      </c>
      <c r="E94" s="150">
        <f t="shared" si="0"/>
        <v>3191570.5762853157</v>
      </c>
      <c r="F94" s="150">
        <f t="shared" si="0"/>
        <v>3201461.0761473295</v>
      </c>
      <c r="G94" s="150">
        <f t="shared" si="0"/>
        <v>3211381.9540459011</v>
      </c>
      <c r="H94" s="150">
        <f t="shared" si="0"/>
        <v>3221333.3024498303</v>
      </c>
      <c r="I94" s="150">
        <f t="shared" si="0"/>
        <v>3231315.214106557</v>
      </c>
      <c r="J94" s="150">
        <f t="shared" si="0"/>
        <v>3241327.7820432899</v>
      </c>
      <c r="K94" s="150">
        <f t="shared" si="0"/>
        <v>3251371.099567919</v>
      </c>
      <c r="L94" s="150">
        <f t="shared" si="2"/>
        <v>3261445.2602697858</v>
      </c>
    </row>
    <row r="95" spans="1:12">
      <c r="A95" s="151" t="s">
        <v>3862</v>
      </c>
      <c r="B95" s="152">
        <f>167-'اوراق بدون ریسک'!$AD$19</f>
        <v>-62</v>
      </c>
      <c r="C95" s="153">
        <f t="shared" si="1"/>
        <v>3093119.3945264458</v>
      </c>
      <c r="D95" s="153">
        <f t="shared" si="1"/>
        <v>3098375.2590381061</v>
      </c>
      <c r="E95" s="153">
        <f t="shared" si="0"/>
        <v>3103639.9100896255</v>
      </c>
      <c r="F95" s="153">
        <f t="shared" si="0"/>
        <v>3108913.3621287881</v>
      </c>
      <c r="G95" s="153">
        <f t="shared" si="0"/>
        <v>3114195.6296266615</v>
      </c>
      <c r="H95" s="153">
        <f t="shared" si="0"/>
        <v>3119486.7270778967</v>
      </c>
      <c r="I95" s="153">
        <f t="shared" si="0"/>
        <v>3124786.6690004254</v>
      </c>
      <c r="J95" s="153">
        <f t="shared" si="0"/>
        <v>3130095.4699356612</v>
      </c>
      <c r="K95" s="153">
        <f t="shared" si="0"/>
        <v>3135413.1444485732</v>
      </c>
      <c r="L95" s="153">
        <f t="shared" si="2"/>
        <v>3140739.7071276805</v>
      </c>
    </row>
    <row r="96" spans="1:12">
      <c r="A96" s="156" t="s">
        <v>3863</v>
      </c>
      <c r="B96" s="23">
        <f>181-'اوراق بدون ریسک'!$AD$19</f>
        <v>-48</v>
      </c>
      <c r="C96" s="157">
        <f t="shared" si="1"/>
        <v>3071842.9370643608</v>
      </c>
      <c r="D96" s="157">
        <f t="shared" si="1"/>
        <v>3075883.2291562115</v>
      </c>
      <c r="E96" s="157">
        <f t="shared" si="0"/>
        <v>3079928.7244567242</v>
      </c>
      <c r="F96" s="157">
        <f t="shared" si="0"/>
        <v>3083979.4295239989</v>
      </c>
      <c r="G96" s="157">
        <f t="shared" si="0"/>
        <v>3088035.3509241617</v>
      </c>
      <c r="H96" s="157">
        <f t="shared" si="0"/>
        <v>3092096.4952315772</v>
      </c>
      <c r="I96" s="157">
        <f t="shared" si="0"/>
        <v>3096162.8690286009</v>
      </c>
      <c r="J96" s="157">
        <f t="shared" si="0"/>
        <v>3100234.4789057062</v>
      </c>
      <c r="K96" s="157">
        <f t="shared" si="0"/>
        <v>3104311.3314615292</v>
      </c>
      <c r="L96" s="157">
        <f t="shared" si="2"/>
        <v>3108393.4333028463</v>
      </c>
    </row>
    <row r="97" spans="1:12">
      <c r="A97" s="158" t="s">
        <v>3864</v>
      </c>
      <c r="B97" s="87">
        <f>197-'اوراق بدون ریسک'!$AD$19</f>
        <v>-32</v>
      </c>
      <c r="C97" s="140">
        <f t="shared" si="1"/>
        <v>3047706.1347815134</v>
      </c>
      <c r="D97" s="140">
        <f t="shared" si="1"/>
        <v>3050377.9131549378</v>
      </c>
      <c r="E97" s="140">
        <f t="shared" si="0"/>
        <v>3053051.9604922854</v>
      </c>
      <c r="F97" s="140">
        <f t="shared" si="0"/>
        <v>3055728.2786582303</v>
      </c>
      <c r="G97" s="140">
        <f t="shared" si="0"/>
        <v>3058406.8695188877</v>
      </c>
      <c r="H97" s="140">
        <f t="shared" si="0"/>
        <v>3061087.7349419524</v>
      </c>
      <c r="I97" s="140">
        <f t="shared" si="0"/>
        <v>3063770.8767965226</v>
      </c>
      <c r="J97" s="140">
        <f t="shared" si="0"/>
        <v>3066456.2969531878</v>
      </c>
      <c r="K97" s="140">
        <f t="shared" si="0"/>
        <v>3069143.997284045</v>
      </c>
      <c r="L97" s="140">
        <f t="shared" si="2"/>
        <v>3071833.9796626838</v>
      </c>
    </row>
    <row r="98" spans="1:12">
      <c r="A98" s="159" t="s">
        <v>3865</v>
      </c>
      <c r="B98" s="23">
        <f>214-'اوراق بدون ریسک'!$AD$19</f>
        <v>-15</v>
      </c>
      <c r="C98" s="106">
        <f t="shared" si="1"/>
        <v>3022268.5520163937</v>
      </c>
      <c r="D98" s="106">
        <f t="shared" si="1"/>
        <v>3023510.2059739847</v>
      </c>
      <c r="E98" s="106">
        <f t="shared" si="0"/>
        <v>3024752.3360258788</v>
      </c>
      <c r="F98" s="106">
        <f t="shared" si="0"/>
        <v>3025994.9423415852</v>
      </c>
      <c r="G98" s="106">
        <f t="shared" si="0"/>
        <v>3027238.0250906511</v>
      </c>
      <c r="H98" s="106">
        <f t="shared" si="0"/>
        <v>3028481.5844427207</v>
      </c>
      <c r="I98" s="106">
        <f t="shared" si="0"/>
        <v>3029725.6205674601</v>
      </c>
      <c r="J98" s="106">
        <f t="shared" si="0"/>
        <v>3030970.1336345924</v>
      </c>
      <c r="K98" s="106">
        <f t="shared" si="0"/>
        <v>3032215.123813909</v>
      </c>
      <c r="L98" s="106">
        <f t="shared" si="2"/>
        <v>3033460.5912752547</v>
      </c>
    </row>
    <row r="99" spans="1:12">
      <c r="A99" s="160" t="s">
        <v>3866</v>
      </c>
      <c r="B99" s="161">
        <f>272-'اوراق بدون ریسک'!$AD$19</f>
        <v>43</v>
      </c>
      <c r="C99" s="162">
        <f t="shared" si="1"/>
        <v>2937068.6796977171</v>
      </c>
      <c r="D99" s="162">
        <f t="shared" si="1"/>
        <v>2933612.3595375754</v>
      </c>
      <c r="E99" s="162">
        <f t="shared" si="0"/>
        <v>2930160.2012249185</v>
      </c>
      <c r="F99" s="162">
        <f t="shared" si="0"/>
        <v>2926712.1996345981</v>
      </c>
      <c r="G99" s="162">
        <f t="shared" si="0"/>
        <v>2923268.3496479644</v>
      </c>
      <c r="H99" s="162">
        <f t="shared" si="0"/>
        <v>2919828.6461526924</v>
      </c>
      <c r="I99" s="162">
        <f t="shared" si="0"/>
        <v>2916393.0840429901</v>
      </c>
      <c r="J99" s="162">
        <f t="shared" si="0"/>
        <v>2912961.6582194855</v>
      </c>
      <c r="K99" s="162">
        <f t="shared" si="0"/>
        <v>2909534.363589196</v>
      </c>
      <c r="L99" s="162">
        <f t="shared" si="2"/>
        <v>2906111.1950655468</v>
      </c>
    </row>
    <row r="100" spans="1:12">
      <c r="A100" s="145" t="s">
        <v>3867</v>
      </c>
      <c r="B100" s="146">
        <f>302-'اوراق بدون ریسک'!$AD$19</f>
        <v>73</v>
      </c>
      <c r="C100" s="147">
        <f t="shared" si="1"/>
        <v>2893946.560624056</v>
      </c>
      <c r="D100" s="147">
        <f t="shared" si="1"/>
        <v>2888167.3777855672</v>
      </c>
      <c r="E100" s="147">
        <f t="shared" si="0"/>
        <v>2882399.8936938113</v>
      </c>
      <c r="F100" s="147">
        <f t="shared" si="0"/>
        <v>2876644.0843477556</v>
      </c>
      <c r="G100" s="147">
        <f t="shared" si="0"/>
        <v>2870899.9257963425</v>
      </c>
      <c r="H100" s="147">
        <f t="shared" si="0"/>
        <v>2865167.3941381024</v>
      </c>
      <c r="I100" s="147">
        <f t="shared" si="0"/>
        <v>2859446.4655214162</v>
      </c>
      <c r="J100" s="147">
        <f t="shared" si="0"/>
        <v>2853737.116144239</v>
      </c>
      <c r="K100" s="147">
        <f t="shared" si="0"/>
        <v>2848039.3222539495</v>
      </c>
      <c r="L100" s="147">
        <f t="shared" si="2"/>
        <v>2842353.0601472934</v>
      </c>
    </row>
    <row r="101" spans="1:12">
      <c r="A101" s="148" t="s">
        <v>3868</v>
      </c>
      <c r="B101" s="149">
        <f>319-'اوراق بدون ریسک'!$AD$19</f>
        <v>90</v>
      </c>
      <c r="C101" s="150">
        <f t="shared" si="1"/>
        <v>2869792.3272766918</v>
      </c>
      <c r="D101" s="150">
        <f t="shared" si="1"/>
        <v>2862728.4198580016</v>
      </c>
      <c r="E101" s="150">
        <f t="shared" si="0"/>
        <v>2855682.0927493456</v>
      </c>
      <c r="F101" s="150">
        <f t="shared" si="0"/>
        <v>2848653.3017181056</v>
      </c>
      <c r="G101" s="150">
        <f t="shared" si="0"/>
        <v>2841642.0026442599</v>
      </c>
      <c r="H101" s="150">
        <f t="shared" si="0"/>
        <v>2834648.1515197498</v>
      </c>
      <c r="I101" s="150">
        <f t="shared" si="0"/>
        <v>2827671.7044486324</v>
      </c>
      <c r="J101" s="150">
        <f t="shared" si="0"/>
        <v>2820712.6176465913</v>
      </c>
      <c r="K101" s="150">
        <f t="shared" si="0"/>
        <v>2813770.8474405939</v>
      </c>
      <c r="L101" s="150">
        <f t="shared" si="2"/>
        <v>2806846.3502686536</v>
      </c>
    </row>
    <row r="102" spans="1:12">
      <c r="A102" s="145" t="s">
        <v>3869</v>
      </c>
      <c r="B102" s="146">
        <f>334-'اوراق بدون ریسک'!$AD$19</f>
        <v>105</v>
      </c>
      <c r="C102" s="147">
        <f t="shared" si="1"/>
        <v>2848647.2441656711</v>
      </c>
      <c r="D102" s="147">
        <f t="shared" si="1"/>
        <v>2840468.4206473292</v>
      </c>
      <c r="E102" s="147">
        <f t="shared" si="0"/>
        <v>2832313.3025509096</v>
      </c>
      <c r="F102" s="147">
        <f t="shared" si="0"/>
        <v>2824181.8205225598</v>
      </c>
      <c r="G102" s="147">
        <f t="shared" si="0"/>
        <v>2816073.9054133347</v>
      </c>
      <c r="H102" s="147">
        <f t="shared" si="0"/>
        <v>2807989.4882781939</v>
      </c>
      <c r="I102" s="147">
        <f t="shared" si="0"/>
        <v>2799928.5003759013</v>
      </c>
      <c r="J102" s="147">
        <f t="shared" si="0"/>
        <v>2791890.8731681854</v>
      </c>
      <c r="K102" s="147">
        <f t="shared" si="0"/>
        <v>2783876.5383190657</v>
      </c>
      <c r="L102" s="147">
        <f t="shared" si="2"/>
        <v>2775885.4276943151</v>
      </c>
    </row>
    <row r="103" spans="1:12">
      <c r="A103" s="148" t="s">
        <v>3870</v>
      </c>
      <c r="B103" s="149">
        <f>349-'اوراق بدون ریسک'!$AD$19</f>
        <v>120</v>
      </c>
      <c r="C103" s="150">
        <f t="shared" si="1"/>
        <v>2827657.9613665836</v>
      </c>
      <c r="D103" s="150">
        <f t="shared" si="1"/>
        <v>2818381.5107040224</v>
      </c>
      <c r="E103" s="150">
        <f t="shared" si="0"/>
        <v>2809135.7452480146</v>
      </c>
      <c r="F103" s="150">
        <f t="shared" si="0"/>
        <v>2799920.5626601027</v>
      </c>
      <c r="G103" s="150">
        <f t="shared" si="0"/>
        <v>2790735.8609460597</v>
      </c>
      <c r="H103" s="150">
        <f t="shared" si="0"/>
        <v>2781581.5384542616</v>
      </c>
      <c r="I103" s="150">
        <f t="shared" si="0"/>
        <v>2772457.4938751208</v>
      </c>
      <c r="J103" s="150">
        <f t="shared" si="0"/>
        <v>2763363.6262396462</v>
      </c>
      <c r="K103" s="150">
        <f t="shared" si="0"/>
        <v>2754299.8349182261</v>
      </c>
      <c r="L103" s="150">
        <f t="shared" si="2"/>
        <v>2745266.0196195361</v>
      </c>
    </row>
    <row r="104" spans="1:12">
      <c r="A104" s="160" t="s">
        <v>3871</v>
      </c>
      <c r="B104" s="161">
        <f>361-'اوراق بدون ریسک'!$AD$19</f>
        <v>132</v>
      </c>
      <c r="C104" s="162">
        <f t="shared" si="1"/>
        <v>2810977.9396372028</v>
      </c>
      <c r="D104" s="162">
        <f t="shared" si="1"/>
        <v>2800835.7022199044</v>
      </c>
      <c r="E104" s="162">
        <f t="shared" si="0"/>
        <v>2790730.3350407891</v>
      </c>
      <c r="F104" s="162">
        <f t="shared" si="0"/>
        <v>2780661.7030607956</v>
      </c>
      <c r="G104" s="162">
        <f t="shared" si="0"/>
        <v>2770629.6717392704</v>
      </c>
      <c r="H104" s="162">
        <f t="shared" si="0"/>
        <v>2760634.107031615</v>
      </c>
      <c r="I104" s="162">
        <f t="shared" si="0"/>
        <v>2750674.8753880882</v>
      </c>
      <c r="J104" s="162">
        <f t="shared" si="0"/>
        <v>2740751.8437516671</v>
      </c>
      <c r="K104" s="162">
        <f t="shared" si="0"/>
        <v>2730864.8795561343</v>
      </c>
      <c r="L104" s="162">
        <f t="shared" si="2"/>
        <v>2721013.850724333</v>
      </c>
    </row>
    <row r="105" spans="1:12">
      <c r="A105" s="154" t="s">
        <v>3872</v>
      </c>
      <c r="B105" s="93">
        <f>372-'اوراق بدون ریسک'!$AD$19</f>
        <v>143</v>
      </c>
      <c r="C105" s="155">
        <f t="shared" si="1"/>
        <v>2795774.3698490607</v>
      </c>
      <c r="D105" s="155">
        <f t="shared" si="1"/>
        <v>2784848.0177022736</v>
      </c>
      <c r="E105" s="155">
        <f t="shared" si="0"/>
        <v>2773964.6650003842</v>
      </c>
      <c r="F105" s="155">
        <f t="shared" si="0"/>
        <v>2763124.1413533725</v>
      </c>
      <c r="G105" s="155">
        <f t="shared" si="0"/>
        <v>2752326.2770511988</v>
      </c>
      <c r="H105" s="155">
        <f t="shared" si="0"/>
        <v>2741570.9030605359</v>
      </c>
      <c r="I105" s="155">
        <f t="shared" si="0"/>
        <v>2730857.8510227464</v>
      </c>
      <c r="J105" s="155">
        <f t="shared" si="0"/>
        <v>2720186.9532508459</v>
      </c>
      <c r="K105" s="155">
        <f t="shared" si="0"/>
        <v>2709558.0427267198</v>
      </c>
      <c r="L105" s="155">
        <f t="shared" si="2"/>
        <v>2698970.9530985267</v>
      </c>
    </row>
    <row r="106" spans="1:12">
      <c r="A106" s="148" t="s">
        <v>3873</v>
      </c>
      <c r="B106" s="149">
        <f>391-'اوراق بدون ریسک'!$AD$19</f>
        <v>162</v>
      </c>
      <c r="C106" s="150">
        <f t="shared" si="1"/>
        <v>2769707.0881026913</v>
      </c>
      <c r="D106" s="150">
        <f t="shared" si="1"/>
        <v>2757447.5814397554</v>
      </c>
      <c r="E106" s="150">
        <f t="shared" si="0"/>
        <v>2745242.6722903978</v>
      </c>
      <c r="F106" s="150">
        <f t="shared" si="0"/>
        <v>2733092.1160204518</v>
      </c>
      <c r="G106" s="150">
        <f t="shared" si="0"/>
        <v>2720995.6690986999</v>
      </c>
      <c r="H106" s="150">
        <f t="shared" si="0"/>
        <v>2708953.0890912777</v>
      </c>
      <c r="I106" s="150">
        <f t="shared" si="0"/>
        <v>2696964.13465747</v>
      </c>
      <c r="J106" s="150">
        <f t="shared" si="0"/>
        <v>2685028.5655443957</v>
      </c>
      <c r="K106" s="150">
        <f t="shared" si="0"/>
        <v>2673146.1425819765</v>
      </c>
      <c r="L106" s="150">
        <f t="shared" si="2"/>
        <v>2661316.6276781219</v>
      </c>
    </row>
    <row r="107" spans="1:12">
      <c r="A107" s="154" t="s">
        <v>3874</v>
      </c>
      <c r="B107" s="93">
        <f>407-'اوراق بدون ریسک'!$AD$19</f>
        <v>178</v>
      </c>
      <c r="C107" s="155">
        <f t="shared" si="1"/>
        <v>2747944.2982281465</v>
      </c>
      <c r="D107" s="155">
        <f t="shared" si="1"/>
        <v>2734582.7433812367</v>
      </c>
      <c r="E107" s="155">
        <f t="shared" si="1"/>
        <v>2721286.5207267711</v>
      </c>
      <c r="F107" s="155">
        <f t="shared" si="1"/>
        <v>2708055.3090428989</v>
      </c>
      <c r="G107" s="155">
        <f t="shared" si="1"/>
        <v>2694888.7886960534</v>
      </c>
      <c r="H107" s="155">
        <f t="shared" si="1"/>
        <v>2681786.6416324051</v>
      </c>
      <c r="I107" s="155">
        <f t="shared" si="1"/>
        <v>2668748.5513708494</v>
      </c>
      <c r="J107" s="155">
        <f t="shared" si="1"/>
        <v>2655774.2029947992</v>
      </c>
      <c r="K107" s="155">
        <f t="shared" si="1"/>
        <v>2642863.2831443017</v>
      </c>
      <c r="L107" s="155">
        <f t="shared" si="2"/>
        <v>2630015.4800084042</v>
      </c>
    </row>
    <row r="108" spans="1:12">
      <c r="A108" s="145" t="s">
        <v>3875</v>
      </c>
      <c r="B108" s="146">
        <f>573-'اوراق بدون ریسک'!$AD$19</f>
        <v>344</v>
      </c>
      <c r="C108" s="147">
        <f t="shared" si="1"/>
        <v>2532001.9370044624</v>
      </c>
      <c r="D108" s="147">
        <f t="shared" si="1"/>
        <v>2508262.7604888682</v>
      </c>
      <c r="E108" s="147">
        <f t="shared" si="1"/>
        <v>2484746.7952196952</v>
      </c>
      <c r="F108" s="147">
        <f t="shared" si="1"/>
        <v>2461451.9363929662</v>
      </c>
      <c r="G108" s="147">
        <f t="shared" si="1"/>
        <v>2438376.0991094196</v>
      </c>
      <c r="H108" s="147">
        <f t="shared" si="1"/>
        <v>2415517.2181845875</v>
      </c>
      <c r="I108" s="147">
        <f t="shared" si="1"/>
        <v>2392873.24796332</v>
      </c>
      <c r="J108" s="147">
        <f t="shared" si="1"/>
        <v>2370442.1621338935</v>
      </c>
      <c r="K108" s="147">
        <f t="shared" si="1"/>
        <v>2348221.9535444044</v>
      </c>
      <c r="L108" s="147">
        <f t="shared" si="2"/>
        <v>2326210.6340212524</v>
      </c>
    </row>
    <row r="109" spans="1:12">
      <c r="A109" s="154" t="s">
        <v>3876</v>
      </c>
      <c r="B109" s="93">
        <f>579-'اوراق بدون ریسک'!$AD$19</f>
        <v>350</v>
      </c>
      <c r="C109" s="155">
        <f t="shared" si="1"/>
        <v>2524522.9003934376</v>
      </c>
      <c r="D109" s="155">
        <f t="shared" si="1"/>
        <v>2500442.9874950834</v>
      </c>
      <c r="E109" s="155">
        <f t="shared" si="1"/>
        <v>2476593.4084303249</v>
      </c>
      <c r="F109" s="155">
        <f t="shared" si="1"/>
        <v>2452971.9537487212</v>
      </c>
      <c r="G109" s="155">
        <f t="shared" si="1"/>
        <v>2429576.4352536919</v>
      </c>
      <c r="H109" s="155">
        <f t="shared" si="1"/>
        <v>2406404.6857963279</v>
      </c>
      <c r="I109" s="155">
        <f t="shared" si="1"/>
        <v>2383454.5590738715</v>
      </c>
      <c r="J109" s="155">
        <f t="shared" si="1"/>
        <v>2360723.9294279306</v>
      </c>
      <c r="K109" s="155">
        <f t="shared" si="1"/>
        <v>2338210.6916451766</v>
      </c>
      <c r="L109" s="155">
        <f t="shared" si="2"/>
        <v>2315912.7607603236</v>
      </c>
    </row>
    <row r="110" spans="1:12">
      <c r="A110" s="148" t="s">
        <v>3877</v>
      </c>
      <c r="B110" s="149">
        <f>753-'اوراق بدون ریسک'!$AD$19</f>
        <v>524</v>
      </c>
      <c r="C110" s="150">
        <f t="shared" si="1"/>
        <v>2316980.9569886508</v>
      </c>
      <c r="D110" s="150">
        <f t="shared" si="1"/>
        <v>2283972.2339046882</v>
      </c>
      <c r="E110" s="150">
        <f t="shared" si="1"/>
        <v>2251434.6521243392</v>
      </c>
      <c r="F110" s="150">
        <f t="shared" si="1"/>
        <v>2219361.4743108638</v>
      </c>
      <c r="G110" s="150">
        <f t="shared" si="1"/>
        <v>2187746.0596526475</v>
      </c>
      <c r="H110" s="150">
        <f t="shared" si="1"/>
        <v>2156581.8624761524</v>
      </c>
      <c r="I110" s="150">
        <f t="shared" si="1"/>
        <v>2125862.4308824083</v>
      </c>
      <c r="J110" s="150">
        <f t="shared" si="1"/>
        <v>2095581.4054001295</v>
      </c>
      <c r="K110" s="150">
        <f t="shared" si="1"/>
        <v>2065732.5176589109</v>
      </c>
      <c r="L110" s="150">
        <f t="shared" si="2"/>
        <v>2036309.5890819859</v>
      </c>
    </row>
    <row r="111" spans="1:12">
      <c r="A111" s="160" t="s">
        <v>3878</v>
      </c>
      <c r="B111" s="161">
        <f>757-'اوراق بدون ریسک'!$AD$19</f>
        <v>528</v>
      </c>
      <c r="C111" s="162">
        <f t="shared" si="1"/>
        <v>2312416.103294177</v>
      </c>
      <c r="D111" s="162">
        <f t="shared" si="1"/>
        <v>2279222.7481375611</v>
      </c>
      <c r="E111" s="162">
        <f t="shared" si="1"/>
        <v>2246506.7532274043</v>
      </c>
      <c r="F111" s="162">
        <f t="shared" si="1"/>
        <v>2214261.2407608521</v>
      </c>
      <c r="G111" s="162">
        <f t="shared" si="1"/>
        <v>2182479.4322151002</v>
      </c>
      <c r="H111" s="162">
        <f t="shared" si="1"/>
        <v>2151154.6469100732</v>
      </c>
      <c r="I111" s="162">
        <f t="shared" si="1"/>
        <v>2120280.3005955471</v>
      </c>
      <c r="J111" s="162">
        <f t="shared" si="1"/>
        <v>2089849.904055737</v>
      </c>
      <c r="K111" s="162">
        <f t="shared" si="1"/>
        <v>2059857.061734827</v>
      </c>
      <c r="L111" s="162">
        <f t="shared" si="2"/>
        <v>2030295.4703828837</v>
      </c>
    </row>
    <row r="112" spans="1:12">
      <c r="A112" s="145" t="s">
        <v>3879</v>
      </c>
      <c r="B112" s="146">
        <f>774-'اوراق بدون ریسک'!$AD$19</f>
        <v>545</v>
      </c>
      <c r="C112" s="147">
        <f t="shared" si="1"/>
        <v>2293115.5954979565</v>
      </c>
      <c r="D112" s="147">
        <f t="shared" si="1"/>
        <v>2259147.3702202747</v>
      </c>
      <c r="E112" s="147">
        <f t="shared" si="1"/>
        <v>2225683.230306644</v>
      </c>
      <c r="F112" s="147">
        <f t="shared" si="1"/>
        <v>2192715.6816794784</v>
      </c>
      <c r="G112" s="147">
        <f t="shared" si="1"/>
        <v>2160237.3418743727</v>
      </c>
      <c r="H112" s="147">
        <f t="shared" si="1"/>
        <v>2128240.9383731955</v>
      </c>
      <c r="I112" s="147">
        <f t="shared" si="1"/>
        <v>2096719.3069657991</v>
      </c>
      <c r="J112" s="147">
        <f t="shared" si="1"/>
        <v>2065665.3901331492</v>
      </c>
      <c r="K112" s="147">
        <f t="shared" si="1"/>
        <v>2035072.2354553542</v>
      </c>
      <c r="L112" s="147">
        <f t="shared" si="2"/>
        <v>2004932.9940439789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3730</v>
      </c>
      <c r="I1" t="s">
        <v>3736</v>
      </c>
    </row>
    <row r="2" spans="1:12">
      <c r="A2">
        <v>1</v>
      </c>
      <c r="B2" t="s">
        <v>3724</v>
      </c>
      <c r="G2" t="s">
        <v>3728</v>
      </c>
      <c r="H2" t="s">
        <v>3731</v>
      </c>
      <c r="I2" t="s">
        <v>3737</v>
      </c>
    </row>
    <row r="3" spans="1:12">
      <c r="A3">
        <v>2</v>
      </c>
      <c r="B3" t="s">
        <v>3725</v>
      </c>
      <c r="G3" s="123"/>
      <c r="H3" t="s">
        <v>3732</v>
      </c>
      <c r="I3" t="s">
        <v>3738</v>
      </c>
    </row>
    <row r="4" spans="1:12">
      <c r="A4">
        <v>3</v>
      </c>
      <c r="B4" t="s">
        <v>3726</v>
      </c>
      <c r="H4" t="s">
        <v>3733</v>
      </c>
      <c r="L4" s="123"/>
    </row>
    <row r="5" spans="1:12">
      <c r="H5" t="s">
        <v>3735</v>
      </c>
    </row>
    <row r="6" spans="1:12">
      <c r="B6" s="123" t="s">
        <v>3729</v>
      </c>
      <c r="H6" t="s">
        <v>3739</v>
      </c>
    </row>
    <row r="7" spans="1:12">
      <c r="H7" t="s">
        <v>3740</v>
      </c>
    </row>
    <row r="8" spans="1:12">
      <c r="H8" t="s">
        <v>3741</v>
      </c>
    </row>
    <row r="9" spans="1:12">
      <c r="H9" t="s">
        <v>3754</v>
      </c>
    </row>
    <row r="10" spans="1:12">
      <c r="H10" t="s">
        <v>3755</v>
      </c>
    </row>
    <row r="11" spans="1:12">
      <c r="H11" t="s">
        <v>3756</v>
      </c>
    </row>
    <row r="12" spans="1:12">
      <c r="H12" t="s">
        <v>3758</v>
      </c>
    </row>
    <row r="13" spans="1:12">
      <c r="H13" t="s">
        <v>3757</v>
      </c>
    </row>
    <row r="18" spans="1:8">
      <c r="A18" s="99" t="s">
        <v>3742</v>
      </c>
      <c r="B18" s="99"/>
      <c r="C18" s="99"/>
      <c r="D18" s="99"/>
    </row>
    <row r="19" spans="1:8">
      <c r="A19" s="99">
        <v>1</v>
      </c>
      <c r="B19" s="99" t="s">
        <v>3743</v>
      </c>
      <c r="C19" s="99" t="s">
        <v>3745</v>
      </c>
      <c r="D19" s="99"/>
    </row>
    <row r="20" spans="1:8">
      <c r="A20" s="99">
        <v>2</v>
      </c>
      <c r="B20" s="99" t="s">
        <v>3744</v>
      </c>
      <c r="C20" s="99" t="s">
        <v>3746</v>
      </c>
      <c r="D20" s="99" t="s">
        <v>3747</v>
      </c>
      <c r="G20" t="s">
        <v>3748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3752</v>
      </c>
      <c r="H38" s="22"/>
    </row>
    <row r="39" spans="1:8">
      <c r="A39">
        <v>1</v>
      </c>
      <c r="B39" t="s">
        <v>3749</v>
      </c>
    </row>
    <row r="40" spans="1:8">
      <c r="A40">
        <v>2</v>
      </c>
      <c r="B40" t="s">
        <v>3753</v>
      </c>
    </row>
    <row r="41" spans="1:8">
      <c r="A41">
        <v>3</v>
      </c>
      <c r="B41" t="s">
        <v>3750</v>
      </c>
    </row>
    <row r="42" spans="1:8">
      <c r="A42">
        <v>4</v>
      </c>
      <c r="B42" t="s">
        <v>3751</v>
      </c>
    </row>
  </sheetData>
  <hyperlinks>
    <hyperlink ref="B6" r:id="rId1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1240</v>
      </c>
      <c r="B1" t="s">
        <v>1241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1348</v>
      </c>
      <c r="B1" s="96" t="s">
        <v>1349</v>
      </c>
      <c r="C1" s="96" t="s">
        <v>1350</v>
      </c>
      <c r="D1" s="96" t="s">
        <v>1351</v>
      </c>
      <c r="E1" s="96" t="s">
        <v>1352</v>
      </c>
      <c r="F1" s="96" t="s">
        <v>1353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3812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3813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3814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3815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3816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3817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3818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3819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3820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3821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3822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3823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3824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3825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3826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3827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3828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3829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3830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3831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3832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3833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3834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3835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3836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3837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3838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3839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3840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3841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3842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3843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3844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3845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3846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3847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3848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3849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3850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3851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3852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3853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3854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1248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1249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1250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1251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1252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1253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1254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1255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1256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1257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1258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1259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1260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1261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1262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1263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1264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1265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1266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1267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1268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1269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1270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1271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1272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1273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1274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1275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1276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1277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1278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1279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1280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1281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1282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1283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1284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1285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1286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1287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1288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1289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1290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1291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1292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1293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1294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1295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1296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1297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1298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1299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1300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1301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1302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1303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1304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1305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1306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1307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1308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1309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1310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1311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1312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1313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1314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1315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1316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1317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1318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1319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1320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1321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1322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1323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1324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1325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1326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1327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1328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1329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1330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1331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1332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1333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1334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1335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1336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1337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1338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1339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1340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1341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1342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1343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1344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1345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1346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1347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1354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1355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1356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1357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1358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1359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1360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1361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1362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1363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1364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1365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1366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1367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1368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1369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1370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1371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1372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1373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1374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1375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1376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1377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1378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1379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1380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1381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1382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1383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1384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1385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1386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1387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1388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1389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1390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1391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1392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1393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1394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1395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1396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1397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1398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1399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1400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1401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1402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1403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1404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1405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1406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1407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1408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1409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1410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1411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1412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1413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1414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1415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1416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1417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1418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1419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1420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1421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1422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1423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1424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1425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1426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1427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1428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1429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1430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1431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1432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1433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1434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1435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1436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1437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1438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1439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1440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1441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1442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1443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1444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1445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1446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1447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1448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1449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1450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1451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1452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1453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1454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1455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1456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1457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1458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1459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1460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1461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1462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1463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1464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1465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1466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1467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1468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1469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1470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1471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1472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1473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1474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1475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1476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1477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1478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1479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1480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1481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1482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1483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1484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1485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1486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1487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1488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1489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1490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1491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1492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1493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1494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1495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1496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1497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1498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1499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1500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1501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1502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1503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1504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1505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1506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1507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1508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1509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1510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1511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1512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1513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1514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1515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1516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1517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1518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1519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1520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1521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1522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1523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1524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1525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1526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1527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1528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1529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1530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1531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1532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1533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1534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1535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1536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1537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1538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1539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1540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1541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1542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1543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1544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1545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1546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1547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1548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1549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1550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1551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1552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1553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1554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1555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1556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1557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1558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1559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1560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1561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1562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1563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1564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1565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1566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1567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1568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1569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1570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1571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1572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1573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1574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1575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1576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1577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1578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1579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1580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1581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1582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1583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1584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1585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1586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1587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1588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1589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1590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1591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1592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1593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1594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1595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1596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1597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1598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1599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1600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1601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1602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1603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1604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1605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1606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1607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1608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1609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1610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1611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1612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1613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1614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1615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1616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1617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1618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1619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1620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1621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1622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1623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1624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1625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1626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1627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1628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1629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1630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1631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1632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1633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1634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1635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1636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1637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1638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1639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1640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1641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1642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1643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1644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1645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1646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1647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1648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1649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1650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1651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1652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1653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1654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1655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1656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1657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1658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1659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1660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1661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1662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1663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1664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1665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1666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1667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1668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1669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1670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1671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1672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1673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1674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1675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1676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1677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1678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1679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1680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1681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1682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1683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1684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1685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1686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1687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1688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1689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1690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1691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1692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1693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1694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1695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1696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1697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1698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1699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1700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1701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1702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1703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1704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1705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1706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1707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1708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1709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1710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1711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1712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1713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1714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1715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1716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1717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1718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1719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1720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1721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1722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1723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1724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1725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1726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1727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1728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1729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1730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1731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1732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1733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1734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1735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1736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1737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1738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1739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1740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1741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1742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1743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1744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1745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1746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1747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1748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1749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1750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1751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1752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1753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1754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1755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1756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1757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1758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1759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1760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1761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1762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1763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1764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1765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1766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1767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1768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1769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1770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1771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1772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1773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1774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1775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1776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1777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1778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1779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1780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1781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1782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1783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1784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1785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1786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1787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1788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1789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1790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1791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1792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1793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1794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1795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1796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1797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1798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1799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1800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1801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1802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1803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1804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1805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1806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1807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1808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1809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1810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1811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1812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1813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1814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1815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1816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1817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1818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1819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1820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1821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1822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1823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1824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1825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1826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1827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1828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1829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1830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1831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1832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1833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1834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1835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1836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1837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1838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1839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1840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1841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1842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1843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1844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1845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1846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1847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1848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1849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1850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1851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1852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1853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1854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1855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1856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1857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1858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1859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1860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1861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1862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1863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1864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1865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1866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1867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1868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1869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1870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1871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1872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1873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1874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1875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1876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1877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1878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1879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1880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1881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1882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1883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1884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1885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1886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1887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1888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1889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1890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1891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1892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1893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1894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1895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1896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1897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1898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1899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1900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1901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1902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1903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1904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1905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1906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1907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1908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1909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1910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1911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1912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1913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1914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1915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1916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1917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1918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1919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1920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1921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1922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1923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1924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1925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1926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1927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1928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1929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1930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1931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1932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1933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1934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1935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1936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1937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1938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1939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1940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1941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1942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1943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1944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1945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1946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1947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1948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1949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1950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1951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1952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1953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1954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1955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1956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1957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1958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1959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1960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1961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1962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1963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1964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1965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1966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1967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1968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1969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1970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1971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1972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1973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1974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1975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1976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1977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1978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1979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1980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1981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1982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1983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1984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1985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1986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1987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1988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1989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1990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1991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1992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1993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1994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1995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1996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1997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1998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1999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2000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2001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2002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2003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2004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2005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2006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2007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2008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2009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2010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2011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2012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2013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2014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2015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2016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2017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2018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2019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2020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2021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2022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2023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2024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2025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2026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2027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2028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2029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2030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2031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2032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2033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2034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2035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2036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2037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2038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2039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2040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2041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2042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2043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2044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2045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2046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2047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2048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2049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2050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2051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2052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2053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2054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2055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2056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2057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2058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2059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2060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2061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2062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2063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2064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2065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2066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2067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2068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2069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2070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2071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2072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2073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2074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2075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2076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2077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2078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2079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2080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2081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2082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2083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2084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2085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2086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2087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2088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2089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2090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2091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2092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2093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2094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2095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2096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2097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2098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2099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2100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2101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2102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2103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2104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2105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2106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2107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2108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2109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2110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2111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2112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2113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2114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2115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2116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2117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2118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2119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2120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2121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2122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2123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2124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2125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2126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2127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2128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2129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2130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2131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2132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2133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2134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2135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2136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2137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2138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2139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2140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2141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2142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2143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2144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2145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2146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2147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2148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2149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2150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2151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2152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2153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2154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2155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2156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2157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2158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2159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2160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2161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2162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2163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2164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2165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2166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2167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2168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2169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2170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2171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2172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2173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2174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2175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2176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2177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2178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2179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2180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2181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2182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2183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2184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2185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2186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2187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2188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2189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2190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2191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2192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2193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2194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2195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2196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2197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2198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2199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2200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2201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2202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2203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2204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2205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2206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2207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2208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2209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2210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2211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2212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2213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2214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2215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2216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2217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2218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2219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2220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2221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2222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2223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2224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2225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2226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2227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2228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2229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2230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2231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2232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2233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2234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2235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2236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2237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2238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2239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2240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2241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2242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2243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2244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2245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2246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2247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2248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2249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2250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2251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2252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2253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2254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2255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2256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2257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2258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2259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2260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2261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2262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2263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2264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2265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2266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2267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2268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2269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2270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2271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2272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2273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2274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2275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2276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2277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2278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2279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2280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2281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2282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2283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2284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2285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2286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2287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2288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2289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2290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2291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2292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2293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2294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2295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2296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2297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2298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2299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2300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2301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2302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2303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2304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2305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2306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2307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2308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2309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2310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2311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2312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2313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2314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2315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2316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2317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2318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2319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2320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2321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2322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2323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2324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2325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2326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2327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2328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2329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2330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2331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2332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2333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2334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2335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2336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2337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2338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2339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2340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2341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2342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2343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2344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2345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2346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2347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2348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2349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2350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2351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2352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2353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2354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2355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2356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2357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2358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2359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2360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2361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2362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2363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2364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2365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2366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2367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2368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2369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2370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2371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2372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2373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2374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2375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2376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2377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2378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2379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2380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2381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2382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2383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2384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2385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2386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2387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2388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2389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2390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2391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2392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2393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2394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2395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2396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2397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2398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2399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2400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2401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2402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2403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2404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2405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2406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2407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2408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2409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2410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2411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2412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2413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2414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2415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2416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2417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2418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2419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2420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2421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2422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2423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2424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2425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2426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2427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2428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2429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2430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2431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2432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2433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2434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2435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2436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2437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2438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2439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2440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2441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2442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2443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2444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2445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2446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2447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2448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2449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2450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2451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2452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2453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2454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2455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2456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2457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2458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2459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2460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2461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2462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2463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2464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2465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2466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2467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2468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2469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2470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2471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2472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2473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2474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2475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2476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2477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2478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2479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2480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2481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2482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2483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2484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2485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2486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2487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2488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2489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2490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2491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2492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2493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2494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2495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2496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2497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2498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2499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2500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2501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2502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2503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2504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2505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2506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2507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2508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2509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2510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2511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2512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2513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2514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2515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2516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2517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2518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2519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2520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2521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2522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2523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2524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2525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2526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2527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2528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2529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2530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2531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2532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2533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2534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2535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2536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2537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2538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2539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2540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2541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2542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2543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2544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2545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2546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2547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2548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2549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2550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2551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2552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2553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2554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2555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2556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2557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2558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2559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2560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2561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2562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2563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2564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2565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2566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2567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2568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2569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2570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2571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2572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2573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2574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2575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2576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2577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2578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2579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2580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2581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2582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2583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2584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2585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2586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2587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2588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2589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2590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2591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2592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2593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2594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2595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2596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2597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2598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2599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2600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2601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2602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2603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2604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2605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2606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2607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2608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2609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2610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2611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2612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2613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2614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2615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2616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2617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2618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2619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2620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2621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2622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2623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2624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2625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2626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2627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2628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2629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2630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2631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2632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2633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2634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2635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2636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2637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2638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2639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2640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2641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2642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2643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2644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2645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2646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2647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2648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2649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2650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2651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2652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2653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2654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2655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2656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2657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2658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2659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2660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2661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2662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2663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2664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2665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2666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2667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2668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2669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2670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2671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2672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2673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2674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2675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2676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2677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2678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2679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2680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2681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2682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2683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2684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2685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2686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2687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2688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2689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2690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2691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2692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2693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2694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2695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2696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2697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2698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2699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2700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2701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2702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2703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2704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2705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2706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2707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2708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2709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2710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2711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2712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2713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2714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2715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2716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2717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2718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2719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2720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2721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2722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2723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2724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2725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2726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2727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2728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2729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2730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2731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2732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2733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2734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2735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2736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2737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2738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2739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2740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2741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2742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2743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2744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2745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2746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2747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2748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2749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2750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2751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2752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2753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2754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2755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2756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2757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2758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2759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2760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2761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2762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2763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2764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2765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2766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2767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2768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2769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2770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2771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2772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2773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2774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2775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2776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2777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2778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2779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2780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2781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2782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2783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2784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2785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2786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2787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2788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2789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2790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2791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2792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2793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2794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2795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2796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2797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2798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2799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2800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2801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2802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2803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2804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2805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2806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2807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2808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2809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2810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2811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2812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2813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2814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2815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2816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2817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2818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2819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2820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2821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2822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2823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2824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2825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2826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2827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2828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2829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2830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2831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2832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2833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2834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2835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2836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2837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2838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2839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2840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2841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2842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2843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2844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2845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2846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2847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2848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2849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2850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2851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2852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2853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2854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2855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2856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2857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2858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2859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2860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2861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2862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2863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2864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2865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2866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2867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2868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2869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2870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2871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2872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2873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2874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2875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2876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2877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2878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2879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2880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2881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2882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2883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2884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2885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2886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2887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2888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2889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2890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2891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2892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2893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2894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2895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2896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2897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2898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2899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2900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2901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2902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2903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2904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2905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2906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2907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2908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2909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2910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2911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2912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2913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2914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2915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2916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2917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2918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2919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2920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2921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2922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2923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2924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2925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2926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2927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2928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2929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2930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2931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2932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2933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2934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2935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2936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2937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2938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2939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2940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2941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2942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2943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2944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2945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2946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2947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2948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2949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2950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2951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2952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2953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2954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2955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2956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2957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2958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2959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2960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2961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2962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2963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2964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2965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2966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2967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2968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2969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2970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2971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2972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2973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2974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2975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2976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2977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2978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2979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2980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2981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2982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2983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2984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2985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2986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2987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2988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2989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2990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2991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2992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2993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2994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2995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2996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2997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2998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2999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3000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3001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3002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3003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3004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3005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3006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3007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3008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3009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3010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3011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3012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3013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3014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3015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3016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3017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3018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3019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3020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3021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3022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3023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3024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3025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3026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3027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3028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3029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3030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3031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3032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3033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3034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3035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3036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3037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3038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3039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3040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3041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3042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3043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3044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3045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3046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3047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3048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3049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3050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3051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3052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3053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3054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3055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3056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3057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3058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3059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3060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3061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3062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3063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3064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3065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3066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3067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3068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3069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3070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3071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3072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3073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3074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3075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3076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3077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3078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3079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3080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3081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3082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3083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3084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3085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3086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3087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3088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3089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3090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3091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3092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3093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3094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3095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3096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3097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3098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3099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3100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3101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3102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3103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3104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3105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3106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3107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3108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3109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3110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3111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3112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3113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3114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3115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3116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3117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3118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3119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3120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3121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3122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3123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3124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3125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3126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3127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3128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3129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3130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3131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3132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3133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3134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3135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3136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3137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3138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3139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3140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3141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3142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3143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3144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3145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3146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3147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3148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3149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3150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3151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3152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3153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3154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3155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3156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3157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3158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3159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3160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3161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3162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3163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3164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3165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3166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3167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3168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3169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3170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3171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3172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3173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3174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3175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3176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3177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3178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3179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3180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3181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3182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3183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3184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3185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3186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3187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3188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3189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3190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3191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3192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3193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3194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3195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3196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3197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3198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3199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3200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3201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3202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3203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3204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3205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3206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3207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3208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3209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3210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3211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3212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3213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3214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3215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3216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3217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3218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3219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3220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3221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3222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3223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3224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3225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3226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3227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3228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3229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3230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3231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3232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3233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3234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3235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3236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3237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3238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3239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3240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3241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3242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3243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3244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3245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3246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3247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3248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3249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3250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3251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3252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3253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3254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3255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3256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3257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3258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3259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3260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3261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3262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3263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3264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3265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3266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3267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3268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3269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3270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3271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3272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3273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3274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3275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3276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3277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3278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3279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3280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3281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3282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3283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3284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3285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3286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3287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3288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3289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3290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3291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3292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3293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3294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3295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3296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3297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3298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3299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3300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3301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3302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3303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3304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3305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3306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3307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3308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3309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3310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3311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3312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3313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3314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3315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3316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3317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3318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3319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3320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3321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3322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3323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3324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3325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3326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3327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3328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3329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3330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3331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3332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3333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3334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3335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3336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3337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3338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3339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3340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3341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3342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3343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3344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3345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3346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3347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3348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3349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3350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3351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3352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3353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3354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3355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3356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3357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3358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3359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3360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3361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3362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3363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3364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3365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3366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3367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3368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3369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3370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3371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3372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3373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3374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3375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3376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3377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3378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3379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3380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3381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3382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3383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3384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3385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3386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3387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3388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3389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3390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3391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3392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3393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3394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3395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3396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3397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3398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3399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3400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3401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3402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3403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3404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3405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3406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3407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3408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3409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3410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3411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3412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3413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3414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3415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3416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3417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3418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3419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3420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3421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3422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3423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3424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3425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3426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3427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3428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3429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3430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3431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3432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3433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3434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3435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3436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3437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3438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3439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3440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3441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3442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3443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3444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3445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3446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3447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3448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3449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3450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3451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3452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3453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3454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3455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3456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3457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3458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3459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3460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3461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3462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3463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3464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3465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3466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3467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3468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3469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3470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3471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3472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3473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3474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3475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3476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3477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3478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3479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3480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3481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3482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3483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3484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3485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3486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3487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3488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3489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3490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3491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3492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3493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3494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3495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3496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3497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3498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3499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3500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3501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3502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3503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3504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3505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3506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3507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3508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3509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3510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3511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3512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3513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3514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3515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3516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3517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3518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3519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3520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3521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3522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3523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3524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3525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3526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3527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3528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3529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3530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3531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3532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3533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3534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3535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3536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3537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3538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3539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3540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3541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3542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3543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3544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3545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3546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3547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3548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3549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3550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3551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3552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3553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3554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3555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3556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3557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3558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3559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3560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3561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3562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3563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3564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3565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3566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3567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3568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3569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3570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3571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3572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3573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3574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3575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3576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3577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3578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3579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3580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3581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3582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3583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3584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3585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3586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3587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3588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3589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3590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3591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3592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3593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3594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3595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3596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3597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3598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3599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3600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3601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3602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3603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3604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3605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3606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3607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3608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3609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3610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3611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3612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3613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3614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3615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3616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3617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3618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3619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3620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3621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3622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3623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3624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3625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3626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3627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3628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3629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3630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3631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3632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3633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3634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3635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3636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3637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3638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3639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3640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3641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3642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3644</v>
      </c>
      <c r="B1" s="96" t="s">
        <v>1353</v>
      </c>
      <c r="C1" s="96" t="s">
        <v>1352</v>
      </c>
      <c r="D1" s="96" t="s">
        <v>1348</v>
      </c>
      <c r="E1" s="96" t="s">
        <v>1349</v>
      </c>
      <c r="F1" s="96" t="s">
        <v>1350</v>
      </c>
      <c r="G1" s="96" t="s">
        <v>1351</v>
      </c>
      <c r="H1" s="96"/>
      <c r="I1" s="96" t="s">
        <v>3652</v>
      </c>
      <c r="J1" s="96" t="s">
        <v>1131</v>
      </c>
      <c r="K1" s="96" t="s">
        <v>1239</v>
      </c>
      <c r="L1" s="96" t="s">
        <v>3653</v>
      </c>
      <c r="M1" s="96" t="s">
        <v>3654</v>
      </c>
      <c r="N1" s="96" t="s">
        <v>191</v>
      </c>
      <c r="O1" s="96" t="s">
        <v>3657</v>
      </c>
      <c r="P1" s="139" t="s">
        <v>3658</v>
      </c>
      <c r="Q1" s="139" t="s">
        <v>3659</v>
      </c>
      <c r="R1" s="96" t="s">
        <v>938</v>
      </c>
      <c r="S1" s="96" t="s">
        <v>3655</v>
      </c>
      <c r="T1" s="96" t="s">
        <v>1131</v>
      </c>
      <c r="U1" s="96" t="s">
        <v>1239</v>
      </c>
      <c r="V1" s="96" t="s">
        <v>3656</v>
      </c>
      <c r="W1" s="96" t="s">
        <v>3654</v>
      </c>
      <c r="X1" s="96" t="s">
        <v>191</v>
      </c>
    </row>
    <row r="2" spans="1:35">
      <c r="A2" s="96">
        <v>1</v>
      </c>
      <c r="B2" s="136" t="s">
        <v>3643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3642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3641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3645</v>
      </c>
      <c r="AC4" s="96" t="s">
        <v>3646</v>
      </c>
      <c r="AD4" s="96" t="s">
        <v>3647</v>
      </c>
      <c r="AE4" s="96" t="s">
        <v>3648</v>
      </c>
      <c r="AH4" s="96" t="s">
        <v>3649</v>
      </c>
      <c r="AI4" s="110">
        <v>100000000</v>
      </c>
    </row>
    <row r="5" spans="1:35">
      <c r="A5" s="96">
        <v>4</v>
      </c>
      <c r="B5" s="136" t="s">
        <v>3640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3639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3650</v>
      </c>
      <c r="AI6" s="96">
        <v>25</v>
      </c>
    </row>
    <row r="7" spans="1:35">
      <c r="A7" s="96">
        <v>6</v>
      </c>
      <c r="B7" s="136" t="s">
        <v>3638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3637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3636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3635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3651</v>
      </c>
      <c r="AI10" s="110">
        <f>AI4*(1+AI6/100)^8</f>
        <v>596046447.75390625</v>
      </c>
    </row>
    <row r="11" spans="1:35">
      <c r="A11" s="96">
        <v>10</v>
      </c>
      <c r="B11" s="136" t="s">
        <v>3634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3633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3632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3631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3630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3629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3628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3627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3626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3625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3624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3623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3622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3621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3620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3619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3618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3617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3616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3615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3614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3613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3612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3611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3610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3609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3608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3607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3606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3605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3604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3603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3602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3601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3600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3599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3598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3597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3596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3595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3594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3593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3592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3591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3590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3589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3588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3587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3586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3585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3584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3583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3582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3581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3580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3579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3578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3577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3576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3575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3574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3573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3572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3571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3570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3569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3568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3567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3566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3565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3564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3563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3562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3561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3560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3559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3558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3557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3556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3555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3554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3553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3552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3551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3550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3549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3548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3547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3546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3545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3544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3543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3542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3541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3540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3539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3538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3537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3536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3535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3534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3533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3532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3531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3530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3529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3528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3527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3526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3525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3524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3523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3522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3521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3520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3519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3518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3517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3516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3515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3514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3513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3512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3511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3510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3509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3508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3507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3506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3505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3504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3503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3502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3501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3500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3499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3498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3497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3496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3495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3494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3493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3492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3491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3490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3489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3488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3487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3486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3485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3484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3483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3482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3481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3480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3479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3478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3477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3476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3475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3474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3473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3472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3471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3470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3469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3468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3467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3466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3465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3464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3463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3462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3461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3460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3459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3458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3457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3456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3455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3454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3453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3452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3451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3450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3449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3448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3447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3446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3445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3444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3443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3442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3441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3440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3439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3438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3437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3436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3435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3434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3433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3432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3431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3430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3429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3428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3427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3426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3425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3424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3423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3422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3421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3420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3419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3418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3417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3416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3415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3414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3413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3412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3411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3410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3409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3408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3407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3406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3405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3404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3403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3402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3401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3400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3399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3398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3397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3396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3395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3394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3393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3392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3391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3390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3389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3388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3387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3386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3385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3384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3383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3382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3381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3380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3379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3378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3377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3376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3375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3374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3373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3372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3371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3370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3369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3368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3367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3366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3365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3364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3363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3362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3361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3360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3359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3358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3357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3356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3355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3354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3353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3352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3351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3350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3349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3348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3347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3346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3345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3344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3343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3342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3341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3340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3339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3338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3337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3336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3335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3334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3333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3332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3331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3330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3329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3328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3327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3326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3325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3324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3323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3322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3321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3320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3319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3318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3317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3316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3315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3314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3313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3312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3311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3310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3309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3308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3307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3306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3305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3304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3303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3302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3301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3300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3299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3298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3297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3296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3295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3294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3293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3292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3291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3290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3289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3288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3287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3286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3285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3284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3283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3282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3281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3280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3279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3278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3277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3276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3275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3274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3273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3272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3271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3270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3269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3268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3267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3266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3265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3264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3263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3262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3261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3260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3259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3258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3257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3256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3255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3254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3253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3252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3251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3250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3249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3248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3247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3246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3245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3244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3243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3242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3241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3240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3239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3238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3237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3236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3235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3234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3233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3232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3231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3230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3229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3228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3227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3226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3225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3224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3223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3222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3221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3220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3219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3218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3217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3216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3215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3214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3213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3212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3211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3210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3209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3208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3207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3206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3205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3204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3203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3202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3201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3200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3199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3198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3197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3196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3195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3194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3193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3192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3191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3190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3189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3188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3187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3186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3185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3184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3183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3182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3181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3180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3179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3178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3177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3176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3175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3174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3173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3172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3171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3170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3169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3168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3167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3166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3165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3164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3163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3162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3161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3160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3159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3158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3157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3156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3155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3154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3153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3152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3151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3150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3149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3148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3147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3146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3145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3144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3143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3142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3141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3140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3139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3138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3137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3136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3135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3134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3133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3132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3131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3130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3129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3128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3127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3126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3125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3124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3123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3122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3121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3120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3119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3118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3117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3116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3115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3114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3113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3112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3111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3110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3109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3108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3107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3106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3105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3104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3103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3102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3101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3100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3099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3098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3097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3096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3095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3094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3093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3092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3091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3090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3089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3088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3087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3086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3085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3084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3083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3082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3081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3080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3079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3078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3077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3076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3075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3074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3073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3072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3071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3070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3069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3068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3067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3066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3065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3064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3063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3062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3061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3060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3059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3058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3057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3056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3055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3054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3053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3052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3051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3050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3049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3048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3047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3046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3045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3044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3043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3042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3041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3040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3039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3038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3037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3036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3035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3034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3033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3032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3031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3030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3029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3028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3027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3026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3025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3024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3023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3022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3021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3020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3019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3018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3017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3016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3015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3014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3013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3012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3011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3010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3009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3008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3007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3006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3005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3004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3003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3002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3001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3000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2999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2998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2997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2996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2995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2994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2993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2992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2991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2990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2989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2988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2987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2986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2985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2984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2983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2982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2981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2980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2979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2978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2977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2976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2975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2974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2973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2972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2971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2970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2969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2968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2967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2966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2965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2964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2963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2962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2961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2960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2959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2958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2957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2956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2955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2954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2953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2952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2951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2950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2949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2948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2947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2946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2945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2944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2943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2942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2941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2940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2939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2938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2937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2936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2935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2934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2933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2932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2931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2930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2929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2928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2927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2926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2925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2924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2923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2922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2921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2920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2919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2918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2917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2916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2915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2914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2913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2912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2911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2910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2909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2908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2907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2906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2905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2904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2903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2902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2901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2900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2899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2898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2897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2896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2895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2894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2893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2892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2891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2890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2889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2888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2887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2886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2885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2884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2883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2882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2881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2880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2879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2878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2877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2876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2875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2874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2873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2872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2871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2870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2869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2868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2867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2866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2865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2864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2863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2862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2861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2860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2859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2858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2857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2856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2855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2854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2853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2852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2851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2850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2849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2848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2847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2846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2845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2844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2843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2842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2841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2840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2839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2838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2837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2836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2835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2834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2833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2832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2831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2830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2829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2828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2827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2826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2825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2824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2823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2822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2821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2820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2819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2818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2817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2816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2815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2814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2813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2812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2811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2810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2809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2808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2807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2806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2805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2804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2803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2802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2801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2800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2799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2798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2797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2796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2795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2794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2793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2792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2791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2790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2789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2788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2787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2786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2785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2784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2783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2782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2781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2780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2779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2778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2777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2776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2775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2774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2773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2772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2771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2770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2769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2768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2767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2766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2765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2764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2763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2762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2761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2760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2759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2758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2757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2756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2755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2754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2753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2752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2751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2750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2749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2748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2747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2746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2745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2744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2743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2742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2741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2740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2739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2738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2737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2736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2735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2734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2733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2732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2731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2730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2729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2728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2727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2726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2725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2724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2723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2722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2721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2720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2719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2718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2717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2716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2715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2714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2713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2712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2711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2710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2709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2708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2707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2706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2705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2704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2703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2702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2701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2700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2699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2698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2697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2696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2695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2694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2693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2692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2691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2690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2689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2688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2687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2686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2685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2684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2683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2682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2681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2680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2679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2678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2677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2676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2675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2674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2673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2672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2671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2670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2669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2668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2667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2666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2665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2664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2663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2662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2661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2660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2659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2658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2657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2656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2655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2654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2653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2652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2651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2650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2649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2648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2647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2646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2645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2644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2643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2642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2641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2640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2639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2638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2637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2636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2635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2634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2633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2632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2631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2630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2629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2628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2627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2626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2625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2624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2623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2622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2621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2620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2619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2618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2617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2616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2615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2614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2613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2612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2611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2610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2609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2608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2607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2606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2605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2604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2603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2602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2601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2600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2599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2598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2597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2596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2595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2594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2593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2592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2591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2590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2589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2588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2587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2586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2585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2584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2583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2582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2581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2580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2579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2578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2577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2576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2575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2574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2573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2572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2571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2570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2569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2568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2567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2566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2565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2564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2563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2562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2561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2560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2559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2558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2557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2556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2555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2554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2553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2552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2551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2550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2549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2548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2547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2546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2545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2544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2543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2542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2541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2540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2539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2538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2537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2536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2535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2534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2533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2532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2531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2530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2529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2528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2527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2526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2525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2524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2523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2522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2521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2520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2519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2518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2517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2516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2515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2514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2513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2512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2511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2510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2509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2508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2507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2506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2505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2504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2503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2502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2501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2500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2499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2498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2497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2496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2495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2494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2493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2492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2491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2490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2489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2488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2487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2486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2485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2484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2483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2482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2481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2480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2479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2478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2477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2476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2475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2474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2473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2472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2471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2470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2469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2468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2467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2466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2465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2464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2463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2462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2461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2460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2459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2458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2457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2456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2455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2454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2453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2452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2451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2450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2449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2448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2447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2446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2445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2444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2443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2442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2441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2440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2439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2438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2437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2436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2435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2434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2433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2432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2431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2430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2429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2428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2427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2426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2425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2424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2423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2422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2421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2420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2419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2418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2417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2416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2415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2414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2413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2412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2411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2410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2409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2408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2407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2406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2405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2404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2403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2402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2401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2400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2399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2398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2397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2396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2395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2394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2393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2392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2391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2390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2389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2388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2387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2386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2385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2384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2383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2382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2381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2380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2379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2378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2377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2376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2375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2374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2373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2372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2371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2370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2369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2368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2367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2366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2365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2364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2363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2362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2361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2360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2359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2358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2357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2356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2355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2354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2353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2352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2351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2350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2349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2348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2347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2346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2345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2344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2343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2342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2341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2340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2339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2338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2337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2336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2335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2334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2333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2332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2331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2330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2329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2328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2327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2326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2325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2324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2323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2322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2321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2320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2319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2318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2317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2316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2315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2314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2313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2312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2311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2310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2309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2308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2307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2306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2305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2304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2303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2302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2301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2300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2299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2298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2297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2296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2295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2294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2293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2292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2291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2290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2289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2288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2287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2286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2285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2284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2283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2282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2281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2280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2279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2278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2277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2276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2275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2274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2273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2272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2271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2270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2269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2268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2267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2266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2265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2264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2263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2262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2261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2260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2259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2258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2257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2256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2255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2254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2253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2252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2251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2250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2249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2248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2247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2246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2245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2244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2243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2242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2241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2240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2239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2238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2237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2236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2235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2234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2233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2232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2231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2230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2229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2228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2227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2226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2225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2224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2223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2222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2221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2220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2219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2218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2217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2216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2215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2214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2213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2212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2211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2210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2209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2208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2207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2206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2205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2204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2203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2202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2201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2200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2199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2198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2197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2196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2195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2194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2193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2192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2191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2190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2189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2188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2187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2186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2185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2184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2183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2182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2181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2180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2179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2178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2177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2176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2175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2174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2173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2172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2171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2170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2169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2168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2167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2166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2165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2164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2163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2162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2161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2160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2159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2158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2157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2156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2155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2154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2153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2152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2151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2150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2149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2148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2147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2146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2145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2144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2143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2142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2141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2140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2139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2138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2137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2136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2135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2134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2133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2132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2131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2130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2129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2128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2127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2126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2125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2124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2123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2122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2121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2120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2119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2118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2117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2116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2115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2114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2113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2112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2111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2110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2109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2108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2107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2106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2105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2104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2103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2102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2101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2100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2099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2098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2097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2096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2095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2094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2093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2092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2091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2090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2089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2088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2087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2086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2085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2084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2083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2082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2081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2080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2079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2078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2077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2076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2075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2074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2073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2072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2071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2070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2069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2068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2067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2066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2065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2064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2063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2062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2061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2060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2059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2058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2057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2056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2055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2054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2053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2052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2051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2050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2049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2048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2047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2046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2045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2044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2043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2042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2041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2040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2039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2038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2037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2036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2035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2034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2033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2032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2031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2030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2029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2028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2027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2026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2025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2024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2023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2022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2021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2020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2019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2018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2017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2016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2015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2014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2013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2012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2011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2010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2009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2008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2007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2006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2005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2004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2003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2002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2001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2000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1999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1998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1997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1996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1995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1994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1993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1992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1991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1990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1989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1988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1987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1986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1985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1984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1983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1982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1981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1980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1979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1978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1977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1976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1975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1974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1973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1972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1971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1970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1969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1968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1967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1966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1965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1964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1963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1962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1961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1960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1959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1958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1957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1956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1955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1954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1953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1952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1951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1950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1949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1948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1947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1946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1945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1944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1943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1942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1941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1940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1939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1938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1937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1936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1935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1934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1933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1932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1931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1930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1929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1928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1927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1926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1925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1924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1923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1922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1921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1920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1919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1918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1917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1916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1915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1914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1913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1912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1911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1910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1909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1908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1907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1906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1905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1904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1903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1902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1901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1900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1899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1898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1897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1896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1895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1894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1893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1892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1891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1890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1889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1888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1887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1886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1885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1884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1883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1882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1881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1880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1879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1878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1877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1876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1875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1874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1873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1872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1871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1870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1869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1868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1867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1866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1865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1864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1863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1862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1861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1860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1859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1858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1857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1856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1855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1854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1853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1852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1851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1850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1849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1848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1847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1846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1845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1844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1843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1842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1841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1840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1839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1838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1837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1836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1835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1834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1833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1832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1831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1830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1829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1828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1827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1826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1825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1824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1823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1822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1821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1820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1819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1818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1817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1816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1815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1814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1813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1812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1811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1810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1809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1808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1807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1806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1805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1804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1803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1802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1801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1800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1799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1798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1797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1796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1795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1794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1793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1792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1791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1790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1789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1788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1787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1786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1785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1784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1783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1782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1781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1780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1779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1778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1777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1776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1775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1774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1773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1772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1771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1770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1769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1768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1767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1766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1765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1764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1763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1762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1761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1760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1759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1758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1757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1756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1755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1754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1753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1752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1751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1750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1749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1748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1747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1746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1745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1744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1743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1742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1741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1740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1739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1738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1737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1736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1735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1734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1733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1732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1731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1730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1729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1728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1727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1726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1725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1724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1723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1722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1721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1720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1719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1718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1717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1716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1715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1714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1713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1712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1711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1710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1709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1708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1707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1706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1705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1704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1703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1702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1701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1700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1699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1698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1697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1696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1695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1694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1693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1692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1691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1690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1689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1688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1687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1686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1685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1684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1683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1682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1681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1680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1679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1678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1677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1676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1675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1674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1673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1672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1671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1670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1669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1668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1667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1666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1665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1664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1663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1662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1661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1660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1659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1658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1657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1656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1655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1654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1653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1652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1651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1650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1649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1648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1647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1646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1645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1644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1643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1642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1641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1640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1639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1638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1637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1636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1635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1634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1633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1632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1631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1630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1629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1628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1627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1626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1625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1624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1623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1622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1621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1620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1619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1618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1617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1616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1615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1614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1613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1612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1611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1610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1609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1608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1607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1606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1605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1604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1603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1602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1601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1600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1599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1598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1597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1596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1595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1594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1593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1592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1591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1590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1589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1588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1587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1586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1585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1584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1583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1582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1581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1580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1579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1578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1577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1576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1575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1574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1573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1572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1571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1570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1569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1568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1567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1566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1565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1564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1563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1562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1561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1560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1559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1558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1557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1556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1555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1554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1553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1552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1551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1550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1549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1548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1547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1546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1545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1544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1543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1542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1541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1540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1539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1538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1537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1536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1535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1534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1533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1532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1531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1530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1529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1528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1527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1526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1525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1524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1523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1522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1521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1520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1519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1518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1517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1516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1515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1514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1513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1512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1511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1510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1509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1508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1507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1506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1505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1504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1503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1502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1501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1500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1499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1498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1497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1496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1495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1494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1493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1492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1491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1490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1489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1488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1487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1486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1485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1484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1483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1482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1481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1480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1479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1478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1477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1476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1475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1474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1473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1472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1471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1470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1469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1468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1467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1466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1465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1464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1463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1462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1461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1460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1459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1458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1457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1456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1455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1454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1453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1452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1451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1450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1449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1448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1447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1446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1445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1444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1443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1442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1441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1440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1439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1438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1437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1436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1435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1434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1433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1432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1431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1430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1429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1428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1427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1426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1425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1424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1423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1422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1421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1420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1419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1418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1417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1416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1415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1414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1413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1412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1411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1410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1409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1408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1407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1406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1405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1404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1403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1402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1401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1400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1399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1398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1397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1396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1395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1394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1393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1392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1391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1390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1389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1388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1387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1386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1385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1384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1383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1382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1381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1380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1379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1378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1377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1376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1375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1374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1373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1372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1371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1370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1369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1368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1367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1366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1365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1364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1363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1362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1361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1360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1359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1358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1357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1356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1355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1354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1347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1346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1345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1344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1343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1342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1341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1340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1339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1338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1337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1336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1335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1334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1333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1332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1331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1330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1329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1328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1327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1326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1325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1324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1323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1322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1321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1320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1319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1318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1317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1316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1315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1314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1313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1312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1311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1310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1309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1308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1307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1306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1305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1304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1303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1302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1301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1300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1299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1298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1297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1296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1295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1294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1293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1292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1291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1290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1289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1288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1287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1286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1285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1284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1283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1282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1281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1280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1279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1278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1277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1276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1275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1274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1273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1272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1271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1270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1269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1268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1267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1266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1265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1264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1263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1262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1261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1260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1259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1258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1257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1256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1255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1254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1253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1252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1251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1250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1249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1248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O265" sqref="O26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1019</v>
      </c>
    </row>
    <row r="187" spans="1:7">
      <c r="A187" s="11" t="s">
        <v>1018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1019</v>
      </c>
    </row>
    <row r="188" spans="1:7">
      <c r="A188" s="11" t="s">
        <v>1018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1030</v>
      </c>
    </row>
    <row r="189" spans="1:7">
      <c r="A189" s="11" t="s">
        <v>1029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1030</v>
      </c>
    </row>
    <row r="190" spans="1:7">
      <c r="A190" s="11" t="s">
        <v>1029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1019</v>
      </c>
    </row>
    <row r="191" spans="1:7">
      <c r="A191" s="11" t="s">
        <v>1035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1037</v>
      </c>
    </row>
    <row r="192" spans="1:7">
      <c r="A192" s="11" t="s">
        <v>1063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1064</v>
      </c>
    </row>
    <row r="193" spans="1:7">
      <c r="A193" s="11" t="s">
        <v>1074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1075</v>
      </c>
    </row>
    <row r="194" spans="1:7">
      <c r="A194" s="11" t="s">
        <v>1079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1084</v>
      </c>
    </row>
    <row r="195" spans="1:7">
      <c r="A195" s="11" t="s">
        <v>1079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1085</v>
      </c>
    </row>
    <row r="196" spans="1:7">
      <c r="A196" s="11" t="s">
        <v>1079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1086</v>
      </c>
    </row>
    <row r="197" spans="1:7">
      <c r="A197" s="11" t="s">
        <v>1133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1134</v>
      </c>
    </row>
    <row r="198" spans="1:7">
      <c r="A198" s="99" t="s">
        <v>1136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1137</v>
      </c>
    </row>
    <row r="199" spans="1:7">
      <c r="A199" s="99" t="s">
        <v>1136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871</v>
      </c>
    </row>
    <row r="200" spans="1:7">
      <c r="A200" s="99" t="s">
        <v>1146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871</v>
      </c>
    </row>
    <row r="201" spans="1:7">
      <c r="A201" s="99" t="s">
        <v>1148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>
      <c r="A202" s="99" t="s">
        <v>1159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1163</v>
      </c>
    </row>
    <row r="203" spans="1:7">
      <c r="A203" s="99" t="s">
        <v>1159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1164</v>
      </c>
    </row>
    <row r="204" spans="1:7">
      <c r="A204" s="99" t="s">
        <v>1168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1169</v>
      </c>
    </row>
    <row r="205" spans="1:7">
      <c r="A205" s="99" t="s">
        <v>1170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>
      <c r="A206" s="99" t="s">
        <v>1175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1176</v>
      </c>
    </row>
    <row r="207" spans="1:7">
      <c r="A207" s="99" t="s">
        <v>1178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1183</v>
      </c>
    </row>
    <row r="208" spans="1:7">
      <c r="A208" s="99" t="s">
        <v>1184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1191</v>
      </c>
    </row>
    <row r="209" spans="1:7">
      <c r="A209" s="99" t="s">
        <v>1200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1206</v>
      </c>
    </row>
    <row r="210" spans="1:7">
      <c r="A210" s="99" t="s">
        <v>1200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1207</v>
      </c>
    </row>
    <row r="211" spans="1:7">
      <c r="A211" s="99" t="s">
        <v>1209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1206</v>
      </c>
    </row>
    <row r="212" spans="1:7">
      <c r="A212" s="99" t="s">
        <v>1212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1215</v>
      </c>
    </row>
    <row r="213" spans="1:7">
      <c r="A213" s="99" t="s">
        <v>1218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1219</v>
      </c>
    </row>
    <row r="214" spans="1:7">
      <c r="A214" s="99" t="s">
        <v>1216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1223</v>
      </c>
    </row>
    <row r="215" spans="1:7">
      <c r="A215" s="99" t="s">
        <v>1226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1229</v>
      </c>
    </row>
    <row r="216" spans="1:7">
      <c r="A216" s="99" t="s">
        <v>1226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1230</v>
      </c>
    </row>
    <row r="217" spans="1:7">
      <c r="A217" s="99" t="s">
        <v>1226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>
      <c r="A218" s="99" t="s">
        <v>1232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1233</v>
      </c>
    </row>
    <row r="219" spans="1:7">
      <c r="A219" s="99" t="s">
        <v>1245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1246</v>
      </c>
    </row>
    <row r="220" spans="1:7">
      <c r="A220" s="99" t="s">
        <v>1245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1247</v>
      </c>
    </row>
    <row r="221" spans="1:7">
      <c r="A221" s="99" t="s">
        <v>3663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3664</v>
      </c>
    </row>
    <row r="222" spans="1:7">
      <c r="A222" s="99" t="s">
        <v>3665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3667</v>
      </c>
    </row>
    <row r="223" spans="1:7">
      <c r="A223" s="99" t="s">
        <v>3675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3678</v>
      </c>
    </row>
    <row r="224" spans="1:7">
      <c r="A224" s="11" t="s">
        <v>3682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1206</v>
      </c>
    </row>
    <row r="225" spans="1:7">
      <c r="A225" s="11" t="s">
        <v>3698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3699</v>
      </c>
    </row>
    <row r="226" spans="1:7">
      <c r="A226" s="99" t="s">
        <v>3704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>
      <c r="A227" s="99" t="s">
        <v>3704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3705</v>
      </c>
    </row>
    <row r="228" spans="1:7">
      <c r="A228" s="99" t="s">
        <v>3708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3709</v>
      </c>
    </row>
    <row r="229" spans="1:7">
      <c r="A229" s="99" t="s">
        <v>3708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>
      <c r="A230" s="99" t="s">
        <v>3711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3712</v>
      </c>
    </row>
    <row r="231" spans="1:7">
      <c r="A231" s="99" t="s">
        <v>3719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>
      <c r="A232" s="99" t="s">
        <v>3720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3721</v>
      </c>
    </row>
    <row r="233" spans="1:7">
      <c r="A233" s="99" t="s">
        <v>3720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3727</v>
      </c>
    </row>
    <row r="234" spans="1:7">
      <c r="A234" s="99" t="s">
        <v>3734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>
      <c r="A235" s="99" t="s">
        <v>3760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3761</v>
      </c>
    </row>
    <row r="236" spans="1:7">
      <c r="A236" s="99" t="s">
        <v>1147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3762</v>
      </c>
    </row>
    <row r="237" spans="1:7">
      <c r="A237" s="99" t="s">
        <v>1147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3764</v>
      </c>
    </row>
    <row r="238" spans="1:7">
      <c r="A238" s="99" t="s">
        <v>1147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3767</v>
      </c>
    </row>
    <row r="239" spans="1:7">
      <c r="A239" s="99" t="s">
        <v>3768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3769</v>
      </c>
    </row>
    <row r="240" spans="1:7">
      <c r="A240" s="99" t="s">
        <v>3768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3770</v>
      </c>
    </row>
    <row r="241" spans="1:7">
      <c r="A241" s="99" t="s">
        <v>3785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3786</v>
      </c>
    </row>
    <row r="242" spans="1:7">
      <c r="A242" s="99" t="s">
        <v>3795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>
      <c r="A243" s="99" t="s">
        <v>3797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3798</v>
      </c>
    </row>
    <row r="244" spans="1:7">
      <c r="A244" s="99" t="s">
        <v>3907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3908</v>
      </c>
    </row>
    <row r="245" spans="1:7">
      <c r="A245" s="99" t="s">
        <v>3915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>
      <c r="A246" s="99" t="s">
        <v>3916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3918</v>
      </c>
    </row>
    <row r="247" spans="1:7">
      <c r="A247" s="99" t="s">
        <v>3916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3918</v>
      </c>
    </row>
    <row r="248" spans="1:7">
      <c r="A248" s="99" t="s">
        <v>3922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3923</v>
      </c>
    </row>
    <row r="249" spans="1:7">
      <c r="A249" s="74" t="s">
        <v>3941</v>
      </c>
      <c r="B249" s="164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>
      <c r="A250" s="99" t="s">
        <v>3930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3895</v>
      </c>
    </row>
    <row r="251" spans="1:7">
      <c r="A251" s="99" t="s">
        <v>3935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3938</v>
      </c>
    </row>
    <row r="252" spans="1:7">
      <c r="A252" s="99" t="s">
        <v>3935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3939</v>
      </c>
    </row>
    <row r="253" spans="1:7">
      <c r="A253" s="99" t="s">
        <v>3935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3939</v>
      </c>
    </row>
    <row r="254" spans="1:7">
      <c r="A254" s="99" t="s">
        <v>3935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3942</v>
      </c>
    </row>
    <row r="255" spans="1:7">
      <c r="A255" s="99" t="s">
        <v>3944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3946</v>
      </c>
    </row>
    <row r="256" spans="1:7">
      <c r="A256" s="99" t="s">
        <v>3944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3761</v>
      </c>
    </row>
    <row r="257" spans="1:7">
      <c r="A257" s="99" t="s">
        <v>3948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3949</v>
      </c>
    </row>
    <row r="258" spans="1:7">
      <c r="A258" s="99" t="s">
        <v>3948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3950</v>
      </c>
    </row>
    <row r="259" spans="1:7">
      <c r="A259" s="99" t="s">
        <v>4250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4261</v>
      </c>
    </row>
    <row r="260" spans="1:7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>
      <c r="A264" s="11"/>
      <c r="B264" s="11" t="s">
        <v>3940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G1" zoomScaleNormal="100" workbookViewId="0">
      <pane ySplit="1" topLeftCell="A2" activePane="bottomLeft" state="frozen"/>
      <selection pane="bottomLeft" activeCell="N10" sqref="N1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852</v>
      </c>
      <c r="N6" t="s">
        <v>1068</v>
      </c>
      <c r="O6" t="s">
        <v>279</v>
      </c>
      <c r="P6">
        <v>54682</v>
      </c>
      <c r="Q6" s="25" t="s">
        <v>3927</v>
      </c>
      <c r="R6" s="25" t="s">
        <v>4146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3928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4147</v>
      </c>
      <c r="R8" s="115" t="s">
        <v>4148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1069</v>
      </c>
      <c r="L10" s="34">
        <v>410021484671</v>
      </c>
      <c r="M10" s="33" t="s">
        <v>1070</v>
      </c>
      <c r="N10" t="s">
        <v>1072</v>
      </c>
      <c r="O10" t="s">
        <v>1073</v>
      </c>
      <c r="P10">
        <v>3781963292</v>
      </c>
      <c r="Q10" s="25" t="s">
        <v>3926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1142</v>
      </c>
      <c r="L13" t="s">
        <v>1139</v>
      </c>
      <c r="N13" t="s">
        <v>1144</v>
      </c>
      <c r="P13" t="s">
        <v>1138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1141</v>
      </c>
      <c r="L14" t="s">
        <v>1140</v>
      </c>
      <c r="M14" t="s">
        <v>1143</v>
      </c>
      <c r="N14" t="s">
        <v>1145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1149</v>
      </c>
      <c r="L17">
        <v>200011228</v>
      </c>
      <c r="M17" t="s">
        <v>1150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3893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4031</v>
      </c>
      <c r="L19" t="s">
        <v>4032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4033</v>
      </c>
      <c r="L20" t="s">
        <v>4196</v>
      </c>
      <c r="M20" t="s">
        <v>4034</v>
      </c>
      <c r="N20" t="s">
        <v>4197</v>
      </c>
      <c r="O20" t="s">
        <v>4114</v>
      </c>
      <c r="P20" t="s">
        <v>4115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K21" s="96" t="s">
        <v>4411</v>
      </c>
      <c r="L21" s="33" t="s">
        <v>4413</v>
      </c>
      <c r="M21" s="96" t="s">
        <v>4412</v>
      </c>
      <c r="N21" s="195" t="s">
        <v>4414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K23" t="s">
        <v>4373</v>
      </c>
      <c r="L23">
        <v>9149046982</v>
      </c>
      <c r="M23" t="s">
        <v>4374</v>
      </c>
      <c r="N23" t="s">
        <v>4375</v>
      </c>
      <c r="O23" t="s">
        <v>4376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K24" t="s">
        <v>4377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K25" t="s">
        <v>4378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>
      <c r="A103" s="11" t="s">
        <v>1013</v>
      </c>
      <c r="B103" s="38">
        <v>295500</v>
      </c>
      <c r="C103" s="73" t="s">
        <v>1014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3965</v>
      </c>
      <c r="B105" s="38">
        <f>SUM(B2:B103)</f>
        <v>59475793</v>
      </c>
      <c r="C105" s="73" t="s">
        <v>3964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>
      <c r="A108" s="11" t="s">
        <v>935</v>
      </c>
      <c r="B108" s="38">
        <v>-60000000</v>
      </c>
      <c r="C108" s="73" t="s">
        <v>1010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>
      <c r="A109" s="11" t="s">
        <v>935</v>
      </c>
      <c r="B109" s="38">
        <v>5850000</v>
      </c>
      <c r="C109" s="73" t="s">
        <v>1012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>
      <c r="A110" s="11" t="s">
        <v>1018</v>
      </c>
      <c r="B110" s="38">
        <v>3000000</v>
      </c>
      <c r="C110" s="73" t="s">
        <v>1028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>
      <c r="A111" s="11" t="s">
        <v>1029</v>
      </c>
      <c r="B111" s="38">
        <v>2000000</v>
      </c>
      <c r="C111" s="73" t="s">
        <v>1028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>
      <c r="A112" s="11" t="s">
        <v>1029</v>
      </c>
      <c r="B112" s="38">
        <v>-5000000</v>
      </c>
      <c r="C112" s="73" t="s">
        <v>1010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>
      <c r="A113" s="11" t="s">
        <v>1035</v>
      </c>
      <c r="B113" s="38">
        <v>412668</v>
      </c>
      <c r="C113" s="73" t="s">
        <v>1036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>
      <c r="A114" s="11" t="s">
        <v>1074</v>
      </c>
      <c r="B114" s="38">
        <v>42000000</v>
      </c>
      <c r="C114" s="73" t="s">
        <v>1075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>
      <c r="A115" s="11" t="s">
        <v>1079</v>
      </c>
      <c r="B115" s="38">
        <v>-25000000</v>
      </c>
      <c r="C115" s="73" t="s">
        <v>1083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>
      <c r="A116" s="11" t="s">
        <v>1080</v>
      </c>
      <c r="B116" s="38">
        <v>-200000</v>
      </c>
      <c r="C116" s="73" t="s">
        <v>1102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>
      <c r="A117" s="11" t="s">
        <v>1109</v>
      </c>
      <c r="B117" s="38">
        <v>-18000000</v>
      </c>
      <c r="C117" s="73" t="s">
        <v>1110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>
      <c r="A118" s="11" t="s">
        <v>1111</v>
      </c>
      <c r="B118" s="38">
        <v>-2500000</v>
      </c>
      <c r="C118" s="73" t="s">
        <v>1110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>
      <c r="A119" s="11" t="s">
        <v>1146</v>
      </c>
      <c r="B119" s="38">
        <v>595000</v>
      </c>
      <c r="C119" s="73" t="s">
        <v>1028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>
      <c r="A120" s="11" t="s">
        <v>1148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>
      <c r="A121" s="11" t="s">
        <v>1151</v>
      </c>
      <c r="B121" s="38">
        <v>-3200900</v>
      </c>
      <c r="C121" s="73" t="s">
        <v>1152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>
      <c r="A122" s="11" t="s">
        <v>1159</v>
      </c>
      <c r="B122" s="38">
        <v>16276000</v>
      </c>
      <c r="C122" s="73" t="s">
        <v>1161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>
      <c r="A123" s="11" t="s">
        <v>1170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>
      <c r="A124" s="11" t="s">
        <v>1170</v>
      </c>
      <c r="B124" s="38">
        <v>2020000</v>
      </c>
      <c r="C124" s="73" t="s">
        <v>1174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>
      <c r="A125" s="11" t="s">
        <v>1170</v>
      </c>
      <c r="B125" s="38">
        <v>4975000</v>
      </c>
      <c r="C125" s="73" t="s">
        <v>1171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>
      <c r="A126" s="99" t="s">
        <v>1184</v>
      </c>
      <c r="B126" s="38">
        <v>-18500000</v>
      </c>
      <c r="C126" s="73" t="s">
        <v>1110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>
      <c r="A127" s="99" t="s">
        <v>1184</v>
      </c>
      <c r="B127" s="38">
        <v>3000000</v>
      </c>
      <c r="C127" s="73" t="s">
        <v>1190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>
      <c r="A128" s="99" t="s">
        <v>1184</v>
      </c>
      <c r="B128" s="38">
        <v>-3000900</v>
      </c>
      <c r="C128" s="73" t="s">
        <v>1196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>
      <c r="A129" s="99" t="s">
        <v>1193</v>
      </c>
      <c r="B129" s="38">
        <v>900000</v>
      </c>
      <c r="C129" s="73" t="s">
        <v>1195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>
      <c r="A130" s="99" t="s">
        <v>1193</v>
      </c>
      <c r="B130" s="38">
        <v>-3000900</v>
      </c>
      <c r="C130" s="73" t="s">
        <v>1196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>
      <c r="A131" s="99" t="s">
        <v>1200</v>
      </c>
      <c r="B131" s="38">
        <v>-3000900</v>
      </c>
      <c r="C131" s="73" t="s">
        <v>1208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>
      <c r="A132" s="99" t="s">
        <v>1209</v>
      </c>
      <c r="B132" s="38">
        <v>-1000500</v>
      </c>
      <c r="C132" s="73" t="s">
        <v>1208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>
      <c r="A133" s="99" t="s">
        <v>1209</v>
      </c>
      <c r="B133" s="38">
        <v>100000</v>
      </c>
      <c r="C133" s="73" t="s">
        <v>1210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>
      <c r="A134" s="99" t="s">
        <v>1212</v>
      </c>
      <c r="B134" s="38">
        <v>-200000</v>
      </c>
      <c r="C134" s="73" t="s">
        <v>1213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>
      <c r="A135" s="99" t="s">
        <v>1216</v>
      </c>
      <c r="B135" s="38">
        <v>-2200000</v>
      </c>
      <c r="C135" s="73" t="s">
        <v>1220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>
      <c r="A136" s="99" t="s">
        <v>1226</v>
      </c>
      <c r="B136" s="38">
        <v>-905500</v>
      </c>
      <c r="C136" s="73" t="s">
        <v>1227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>
      <c r="A137" s="99" t="s">
        <v>1236</v>
      </c>
      <c r="B137" s="38">
        <v>1500000</v>
      </c>
      <c r="C137" s="73" t="s">
        <v>1237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>
      <c r="A138" s="99" t="s">
        <v>3660</v>
      </c>
      <c r="B138" s="38">
        <v>-1000500</v>
      </c>
      <c r="C138" s="73" t="s">
        <v>1223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>
      <c r="A139" s="99" t="s">
        <v>3660</v>
      </c>
      <c r="B139" s="38">
        <v>-365000</v>
      </c>
      <c r="C139" s="73" t="s">
        <v>3662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>
      <c r="A140" s="99" t="s">
        <v>3665</v>
      </c>
      <c r="B140" s="38">
        <v>23000000</v>
      </c>
      <c r="C140" s="73" t="s">
        <v>3666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>
      <c r="A141" s="99" t="s">
        <v>3668</v>
      </c>
      <c r="B141" s="38">
        <v>1800000</v>
      </c>
      <c r="C141" s="73" t="s">
        <v>3666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>
      <c r="A142" s="99" t="s">
        <v>3681</v>
      </c>
      <c r="B142" s="38">
        <v>200000</v>
      </c>
      <c r="C142" s="73" t="s">
        <v>3666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>
      <c r="A143" s="99" t="s">
        <v>3669</v>
      </c>
      <c r="B143" s="38">
        <v>-3200900</v>
      </c>
      <c r="C143" s="73" t="s">
        <v>3670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>
      <c r="A144" s="99" t="s">
        <v>3673</v>
      </c>
      <c r="B144" s="38">
        <v>-3020900</v>
      </c>
      <c r="C144" s="73" t="s">
        <v>3674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>
      <c r="A145" s="99" t="s">
        <v>3675</v>
      </c>
      <c r="B145" s="38">
        <v>72533</v>
      </c>
      <c r="C145" s="73" t="s">
        <v>3678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>
      <c r="A146" s="99" t="s">
        <v>3682</v>
      </c>
      <c r="B146" s="38">
        <v>-3000900</v>
      </c>
      <c r="C146" s="73" t="s">
        <v>1208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>
      <c r="A147" s="99" t="s">
        <v>3698</v>
      </c>
      <c r="B147" s="38">
        <v>-3001400</v>
      </c>
      <c r="C147" s="73" t="s">
        <v>3700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>
      <c r="A148" s="99" t="s">
        <v>3698</v>
      </c>
      <c r="B148" s="38">
        <v>-216910</v>
      </c>
      <c r="C148" s="73" t="s">
        <v>3703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>
      <c r="A149" s="99" t="s">
        <v>3704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>
      <c r="A150" s="99" t="s">
        <v>3717</v>
      </c>
      <c r="B150" s="38">
        <v>5900000</v>
      </c>
      <c r="C150" s="73" t="s">
        <v>3718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>
      <c r="A151" s="99" t="s">
        <v>3771</v>
      </c>
      <c r="B151" s="38">
        <v>17000000</v>
      </c>
      <c r="C151" s="73" t="s">
        <v>3772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>
      <c r="A152" s="99" t="s">
        <v>3771</v>
      </c>
      <c r="B152" s="38">
        <v>-1000</v>
      </c>
      <c r="C152" s="73" t="s">
        <v>3773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>
      <c r="A153" s="99" t="s">
        <v>3775</v>
      </c>
      <c r="B153" s="38">
        <v>3000000</v>
      </c>
      <c r="C153" s="73" t="s">
        <v>3778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>
      <c r="A154" s="99" t="s">
        <v>3775</v>
      </c>
      <c r="B154" s="38">
        <v>-18011000</v>
      </c>
      <c r="C154" s="73" t="s">
        <v>3780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>
      <c r="A155" s="99" t="s">
        <v>3775</v>
      </c>
      <c r="B155" s="38">
        <v>-15600000</v>
      </c>
      <c r="C155" s="73" t="s">
        <v>3779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>
      <c r="A156" s="99" t="s">
        <v>3775</v>
      </c>
      <c r="B156" s="38">
        <v>-1400500</v>
      </c>
      <c r="C156" s="73" t="s">
        <v>3781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>
      <c r="A157" s="99" t="s">
        <v>3775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>
      <c r="A158" s="99" t="s">
        <v>3783</v>
      </c>
      <c r="B158" s="38">
        <v>3000000</v>
      </c>
      <c r="C158" s="73" t="s">
        <v>3784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>
      <c r="A159" s="99" t="s">
        <v>3790</v>
      </c>
      <c r="B159" s="38">
        <v>1000000</v>
      </c>
      <c r="C159" s="73" t="s">
        <v>3666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>
      <c r="A160" s="99" t="s">
        <v>3789</v>
      </c>
      <c r="B160" s="38">
        <v>-4500000</v>
      </c>
      <c r="C160" s="73" t="s">
        <v>3791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>
      <c r="A161" s="99" t="s">
        <v>3789</v>
      </c>
      <c r="B161" s="38">
        <v>3000000</v>
      </c>
      <c r="C161" s="73" t="s">
        <v>3792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>
      <c r="A162" s="99" t="s">
        <v>3789</v>
      </c>
      <c r="B162" s="38">
        <v>-3000000</v>
      </c>
      <c r="C162" s="73" t="s">
        <v>3791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>
      <c r="A163" s="99" t="s">
        <v>3807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>
      <c r="A164" s="37" t="s">
        <v>3804</v>
      </c>
      <c r="B164" s="38">
        <v>1160000</v>
      </c>
      <c r="C164" s="73" t="s">
        <v>3811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>
      <c r="A165" s="59" t="s">
        <v>3808</v>
      </c>
      <c r="B165" s="38">
        <v>-526350</v>
      </c>
      <c r="C165" s="73" t="s">
        <v>3809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>
      <c r="A166" s="59">
        <v>35707</v>
      </c>
      <c r="B166" s="38">
        <v>-200000</v>
      </c>
      <c r="C166" s="73" t="s">
        <v>3882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>
      <c r="A167" s="99" t="s">
        <v>3886</v>
      </c>
      <c r="B167" s="38">
        <v>785000</v>
      </c>
      <c r="C167" s="73" t="s">
        <v>3889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>
      <c r="A168" s="99" t="s">
        <v>3886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>
      <c r="A169" s="99" t="s">
        <v>3890</v>
      </c>
      <c r="B169" s="38">
        <v>-450000</v>
      </c>
      <c r="C169" s="73" t="s">
        <v>1110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>
      <c r="A170" s="99" t="s">
        <v>3890</v>
      </c>
      <c r="B170" s="38">
        <v>3000000</v>
      </c>
      <c r="C170" s="73" t="s">
        <v>3895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>
      <c r="A171" s="99" t="s">
        <v>3890</v>
      </c>
      <c r="B171" s="38">
        <v>-35000</v>
      </c>
      <c r="C171" s="73" t="s">
        <v>3898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>
      <c r="A172" s="99" t="s">
        <v>3899</v>
      </c>
      <c r="B172" s="38">
        <v>2500000</v>
      </c>
      <c r="C172" s="73" t="s">
        <v>3895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>
      <c r="A173" s="99" t="s">
        <v>3903</v>
      </c>
      <c r="B173" s="38">
        <v>-130640</v>
      </c>
      <c r="C173" s="73" t="s">
        <v>3904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>
      <c r="A174" s="99" t="s">
        <v>3916</v>
      </c>
      <c r="B174" s="38">
        <v>-4800000</v>
      </c>
      <c r="C174" s="73" t="s">
        <v>3917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>
      <c r="A175" s="99" t="s">
        <v>3916</v>
      </c>
      <c r="B175" s="38">
        <v>-320000</v>
      </c>
      <c r="C175" s="73" t="s">
        <v>3918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>
      <c r="A176" s="99" t="s">
        <v>3916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>
      <c r="A177" s="99" t="s">
        <v>3954</v>
      </c>
      <c r="B177" s="38">
        <v>-80000</v>
      </c>
      <c r="C177" s="73" t="s">
        <v>759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>
      <c r="A178" s="99" t="s">
        <v>3954</v>
      </c>
      <c r="B178" s="38">
        <v>-100000</v>
      </c>
      <c r="C178" s="73" t="s">
        <v>3955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>
      <c r="A179" s="99" t="s">
        <v>3959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>
      <c r="A180" s="99" t="s">
        <v>3962</v>
      </c>
      <c r="B180" s="38">
        <v>-39030</v>
      </c>
      <c r="C180" s="73" t="s">
        <v>3963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>
      <c r="A181" s="99" t="s">
        <v>3968</v>
      </c>
      <c r="B181" s="38">
        <v>-32000</v>
      </c>
      <c r="C181" s="73" t="s">
        <v>3969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>
      <c r="A182" s="99" t="s">
        <v>3972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>
      <c r="A183" s="99" t="s">
        <v>3974</v>
      </c>
      <c r="B183" s="38">
        <v>-20000</v>
      </c>
      <c r="C183" s="73" t="s">
        <v>3975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>
      <c r="A184" s="99" t="s">
        <v>991</v>
      </c>
      <c r="B184" s="38">
        <v>-8185</v>
      </c>
      <c r="C184" s="73" t="s">
        <v>3978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>
      <c r="A185" s="99" t="s">
        <v>3982</v>
      </c>
      <c r="B185" s="38">
        <v>-60100</v>
      </c>
      <c r="C185" s="73" t="s">
        <v>3983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>
      <c r="A186" s="99" t="s">
        <v>3982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>
      <c r="A187" s="99" t="s">
        <v>3998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>
      <c r="A188" s="99" t="s">
        <v>4007</v>
      </c>
      <c r="B188" s="38">
        <v>-16000</v>
      </c>
      <c r="C188" s="73" t="s">
        <v>4008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>
      <c r="A189" s="99" t="s">
        <v>4010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>
      <c r="A190" s="99" t="s">
        <v>4016</v>
      </c>
      <c r="B190" s="38">
        <v>-10350</v>
      </c>
      <c r="C190" s="73" t="s">
        <v>4017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>
      <c r="A191" s="99" t="s">
        <v>4260</v>
      </c>
      <c r="B191" s="38">
        <v>-5000</v>
      </c>
      <c r="C191" s="73" t="s">
        <v>4261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38"/>
  <sheetViews>
    <sheetView tabSelected="1" topLeftCell="E28" zoomScaleNormal="100" workbookViewId="0">
      <selection activeCell="K36" sqref="K36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19.7109375" bestFit="1" customWidth="1"/>
    <col min="18" max="18" width="45.28515625" bestFit="1" customWidth="1"/>
    <col min="19" max="19" width="14.140625" bestFit="1" customWidth="1"/>
    <col min="20" max="20" width="44.85546875" bestFit="1" customWidth="1"/>
    <col min="21" max="21" width="8.57031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16" customWidth="1"/>
    <col min="28" max="28" width="15.140625" bestFit="1" customWidth="1"/>
    <col min="29" max="29" width="24.28515625" bestFit="1" customWidth="1"/>
    <col min="30" max="30" width="39.140625" bestFit="1" customWidth="1"/>
    <col min="31" max="31" width="39.140625" style="96" bestFit="1" customWidth="1"/>
    <col min="34" max="34" width="21.42578125" bestFit="1" customWidth="1"/>
    <col min="35" max="35" width="16.140625" bestFit="1" customWidth="1"/>
    <col min="36" max="36" width="19.140625" bestFit="1" customWidth="1"/>
    <col min="37" max="37" width="10.42578125" customWidth="1"/>
    <col min="38" max="38" width="18.5703125" bestFit="1" customWidth="1"/>
    <col min="39" max="39" width="23.7109375" bestFit="1" customWidth="1"/>
    <col min="42" max="42" width="6.28515625" bestFit="1" customWidth="1"/>
    <col min="43" max="43" width="15.7109375" bestFit="1" customWidth="1"/>
    <col min="44" max="44" width="9.7109375" bestFit="1" customWidth="1"/>
    <col min="45" max="45" width="36.42578125" style="96" bestFit="1" customWidth="1"/>
    <col min="46" max="46" width="34.85546875" style="96" bestFit="1" customWidth="1"/>
    <col min="47" max="47" width="14.140625" bestFit="1" customWidth="1"/>
    <col min="48" max="48" width="15.140625" bestFit="1" customWidth="1"/>
    <col min="49" max="49" width="8.7109375" bestFit="1" customWidth="1"/>
    <col min="50" max="50" width="16.85546875" bestFit="1" customWidth="1"/>
    <col min="51" max="51" width="36.7109375" customWidth="1"/>
    <col min="52" max="52" width="15.140625" bestFit="1" customWidth="1"/>
    <col min="53" max="53" width="32.28515625" bestFit="1" customWidth="1"/>
  </cols>
  <sheetData>
    <row r="1" spans="1:4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931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1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934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1120</v>
      </c>
      <c r="N3" s="29">
        <v>46000000</v>
      </c>
      <c r="O3" s="29">
        <v>40000000</v>
      </c>
      <c r="P3" s="11" t="s">
        <v>932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P5" s="99" t="s">
        <v>1078</v>
      </c>
      <c r="AQ5" s="99" t="s">
        <v>267</v>
      </c>
      <c r="AR5" s="99" t="s">
        <v>180</v>
      </c>
      <c r="AS5" s="99"/>
    </row>
    <row r="6" spans="1:4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-L83*12</f>
        <v>-40599996</v>
      </c>
      <c r="O6" s="29">
        <v>-25000000</v>
      </c>
      <c r="P6" s="11" t="s">
        <v>933</v>
      </c>
      <c r="R6" s="115"/>
      <c r="S6" s="116"/>
      <c r="T6" s="116"/>
      <c r="U6" s="116"/>
      <c r="V6" s="115"/>
      <c r="W6" s="115"/>
      <c r="X6" s="116"/>
      <c r="Y6" s="115"/>
      <c r="Z6" s="115"/>
      <c r="AP6" s="99">
        <v>1</v>
      </c>
      <c r="AQ6" s="170">
        <v>5000000</v>
      </c>
      <c r="AR6" s="99" t="s">
        <v>4159</v>
      </c>
      <c r="AS6" s="99" t="s">
        <v>4190</v>
      </c>
    </row>
    <row r="7" spans="1:4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P7" s="99">
        <v>2</v>
      </c>
      <c r="AQ7" s="170">
        <v>13000000</v>
      </c>
      <c r="AR7" s="99" t="s">
        <v>4166</v>
      </c>
      <c r="AS7" s="99" t="s">
        <v>4191</v>
      </c>
    </row>
    <row r="8" spans="1:4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P8" s="99">
        <v>3</v>
      </c>
      <c r="AQ8" s="170">
        <v>-168093</v>
      </c>
      <c r="AR8" s="99" t="s">
        <v>4181</v>
      </c>
      <c r="AS8" s="99" t="s">
        <v>4192</v>
      </c>
    </row>
    <row r="9" spans="1:4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P9" s="99">
        <v>4</v>
      </c>
      <c r="AQ9" s="170">
        <v>-2000000</v>
      </c>
      <c r="AR9" s="99" t="s">
        <v>4394</v>
      </c>
      <c r="AS9" s="99" t="s">
        <v>4395</v>
      </c>
    </row>
    <row r="10" spans="1:4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P10" s="99"/>
      <c r="AQ10" s="170"/>
      <c r="AR10" s="99"/>
      <c r="AS10" s="99"/>
    </row>
    <row r="11" spans="1:45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P11" s="99"/>
      <c r="AQ11" s="170"/>
      <c r="AR11" s="99"/>
      <c r="AS11" s="99"/>
    </row>
    <row r="12" spans="1:4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P12" s="99"/>
      <c r="AQ12" s="170"/>
      <c r="AR12" s="99"/>
      <c r="AS12" s="99"/>
    </row>
    <row r="13" spans="1:4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P13" s="99"/>
      <c r="AQ13" s="170"/>
      <c r="AR13" s="99"/>
      <c r="AS13" s="99"/>
    </row>
    <row r="14" spans="1:45" ht="18.7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1065</v>
      </c>
      <c r="L14" s="25"/>
      <c r="O14" s="25"/>
      <c r="P14" s="169" t="s">
        <v>1118</v>
      </c>
      <c r="Q14" s="169" t="s">
        <v>4421</v>
      </c>
      <c r="V14" s="115"/>
      <c r="W14" s="115"/>
      <c r="X14" s="116"/>
      <c r="Y14" s="115"/>
      <c r="Z14" s="115"/>
      <c r="AP14" s="99"/>
      <c r="AQ14" s="170">
        <f>SUM(AQ6:AQ12)</f>
        <v>15831907</v>
      </c>
      <c r="AR14" s="99"/>
      <c r="AS14" s="180" t="s">
        <v>4396</v>
      </c>
    </row>
    <row r="15" spans="1:4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1158</v>
      </c>
      <c r="K15" s="169" t="s">
        <v>451</v>
      </c>
      <c r="L15" s="169" t="s">
        <v>452</v>
      </c>
      <c r="M15" s="169"/>
      <c r="N15" s="169" t="s">
        <v>751</v>
      </c>
      <c r="P15" s="170">
        <v>4150000</v>
      </c>
      <c r="Q15" s="169">
        <v>28</v>
      </c>
      <c r="V15" s="115"/>
      <c r="W15" s="115"/>
      <c r="X15" s="116"/>
      <c r="Y15" s="115"/>
      <c r="Z15" s="115"/>
      <c r="AP15" s="99"/>
      <c r="AQ15" s="99" t="s">
        <v>6</v>
      </c>
      <c r="AR15" s="99"/>
      <c r="AS15" s="99"/>
    </row>
    <row r="16" spans="1:4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3677</v>
      </c>
      <c r="K16" s="19" t="s">
        <v>299</v>
      </c>
      <c r="L16" s="117">
        <f>'مسکن ایلیا'!B263</f>
        <v>299</v>
      </c>
      <c r="M16" s="169" t="s">
        <v>752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P16" s="96"/>
      <c r="AQ16" s="96"/>
      <c r="AR16" s="96"/>
    </row>
    <row r="17" spans="1:53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3796</v>
      </c>
      <c r="K17" s="169" t="s">
        <v>453</v>
      </c>
      <c r="L17" s="117">
        <f>'مسکن علی سید الشهدا'!B85</f>
        <v>22903</v>
      </c>
      <c r="M17" s="169" t="s">
        <v>657</v>
      </c>
      <c r="N17" s="113">
        <f>سارا!D267</f>
        <v>-7961019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P17" s="96"/>
      <c r="AQ17" s="96"/>
      <c r="AR17" s="96"/>
    </row>
    <row r="18" spans="1:53" ht="30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3960</v>
      </c>
      <c r="K18" s="169" t="s">
        <v>683</v>
      </c>
      <c r="L18" s="117">
        <v>1000000</v>
      </c>
      <c r="M18" s="169" t="s">
        <v>4083</v>
      </c>
      <c r="N18" s="113">
        <v>35695</v>
      </c>
      <c r="Q18" s="99" t="s">
        <v>4332</v>
      </c>
      <c r="R18" s="99" t="s">
        <v>25</v>
      </c>
      <c r="S18" s="99"/>
      <c r="T18" s="95"/>
      <c r="U18" s="169" t="s">
        <v>4420</v>
      </c>
      <c r="V18" s="36" t="s">
        <v>4422</v>
      </c>
      <c r="W18" s="116"/>
      <c r="X18" s="116"/>
      <c r="Y18" s="115"/>
      <c r="Z18" s="115"/>
      <c r="AO18" s="96"/>
      <c r="AP18" s="96"/>
      <c r="AQ18" s="96"/>
      <c r="AR18" s="96"/>
      <c r="AU18" s="96"/>
      <c r="AV18" s="96"/>
      <c r="AW18" s="96"/>
      <c r="AX18" s="96"/>
      <c r="AY18" s="96"/>
      <c r="AZ18" s="96"/>
      <c r="BA18" s="96"/>
    </row>
    <row r="19" spans="1:53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4144</v>
      </c>
      <c r="K19" s="169" t="s">
        <v>4157</v>
      </c>
      <c r="L19" s="117">
        <f>-آبان97!D91</f>
        <v>57302066</v>
      </c>
      <c r="M19" s="169" t="s">
        <v>4343</v>
      </c>
      <c r="N19" s="113">
        <f t="shared" ref="N19:N24" si="4">O19*P19</f>
        <v>9759289.5999999996</v>
      </c>
      <c r="O19" s="99">
        <v>48028</v>
      </c>
      <c r="P19" s="193">
        <f>P38</f>
        <v>203.2</v>
      </c>
      <c r="Q19" s="99" t="s">
        <v>267</v>
      </c>
      <c r="R19" s="99" t="s">
        <v>180</v>
      </c>
      <c r="S19" s="99" t="s">
        <v>183</v>
      </c>
      <c r="T19" s="99" t="s">
        <v>8</v>
      </c>
      <c r="U19" s="99"/>
      <c r="V19" s="99"/>
      <c r="W19" s="115"/>
      <c r="X19" s="122"/>
      <c r="Y19" s="116"/>
      <c r="Z19" s="115"/>
      <c r="AG19" s="99" t="s">
        <v>3644</v>
      </c>
      <c r="AH19" s="99" t="s">
        <v>180</v>
      </c>
      <c r="AI19" s="99" t="s">
        <v>267</v>
      </c>
      <c r="AJ19" s="69" t="s">
        <v>4063</v>
      </c>
      <c r="AK19" s="69" t="s">
        <v>4055</v>
      </c>
      <c r="AL19" s="69" t="s">
        <v>282</v>
      </c>
      <c r="AM19" s="99"/>
      <c r="AO19" s="96"/>
      <c r="AP19" s="96"/>
      <c r="AQ19" s="96"/>
      <c r="AR19" s="96"/>
      <c r="AU19" s="96"/>
      <c r="AV19" s="96"/>
      <c r="AW19" s="96"/>
      <c r="AX19" s="96"/>
      <c r="AY19" s="96"/>
      <c r="AZ19" s="96"/>
      <c r="BA19" s="96"/>
    </row>
    <row r="20" spans="1:53" ht="30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4145</v>
      </c>
      <c r="K20" s="169"/>
      <c r="L20" s="117"/>
      <c r="M20" s="169" t="s">
        <v>4358</v>
      </c>
      <c r="N20" s="113">
        <f t="shared" si="4"/>
        <v>10218720</v>
      </c>
      <c r="O20" s="99">
        <v>33504</v>
      </c>
      <c r="P20" s="193">
        <f>P43</f>
        <v>305</v>
      </c>
      <c r="Q20" s="170">
        <v>9268987</v>
      </c>
      <c r="R20" s="99" t="s">
        <v>4181</v>
      </c>
      <c r="S20" s="99">
        <v>52</v>
      </c>
      <c r="T20" s="99" t="s">
        <v>4352</v>
      </c>
      <c r="U20" s="99">
        <v>192.1</v>
      </c>
      <c r="V20" s="99">
        <f t="shared" ref="V20:V27" si="5">U20*(1+$R$64+$Q$15*S20/36500)</f>
        <v>201.91446794520547</v>
      </c>
      <c r="W20" s="115"/>
      <c r="X20" s="116"/>
      <c r="Y20" s="115"/>
      <c r="Z20" s="115"/>
      <c r="AE20" s="96" t="s">
        <v>25</v>
      </c>
      <c r="AG20" s="99">
        <v>1</v>
      </c>
      <c r="AH20" s="113" t="s">
        <v>1109</v>
      </c>
      <c r="AI20" s="113">
        <v>18000000</v>
      </c>
      <c r="AJ20" s="99">
        <v>1</v>
      </c>
      <c r="AK20" s="99">
        <f>AK21+AJ20</f>
        <v>226</v>
      </c>
      <c r="AL20" s="113">
        <f>AI20*AK20</f>
        <v>4068000000</v>
      </c>
      <c r="AM20" s="99"/>
      <c r="AO20" s="96"/>
      <c r="AP20" s="96"/>
      <c r="AQ20" s="96"/>
      <c r="AR20" s="96"/>
      <c r="AU20" s="96"/>
      <c r="AV20" s="96"/>
      <c r="AW20" s="96"/>
      <c r="AX20" s="96"/>
      <c r="AY20" s="96"/>
      <c r="AZ20" s="96"/>
      <c r="BA20" s="96"/>
    </row>
    <row r="21" spans="1:53">
      <c r="A21" s="60">
        <v>97</v>
      </c>
      <c r="B21" s="11">
        <v>19</v>
      </c>
      <c r="C21" s="50">
        <f t="shared" si="1"/>
        <v>3874548.5496936501</v>
      </c>
      <c r="D21" s="35">
        <f t="shared" si="3"/>
        <v>3147407.2465319652</v>
      </c>
      <c r="E21" s="35">
        <v>262000000</v>
      </c>
      <c r="F21" s="35">
        <f>L52</f>
        <v>280870268</v>
      </c>
      <c r="G21" s="29">
        <f t="shared" si="0"/>
        <v>-18870268</v>
      </c>
      <c r="H21" s="11" t="s">
        <v>4216</v>
      </c>
      <c r="J21" s="25"/>
      <c r="K21" s="169"/>
      <c r="L21" s="117"/>
      <c r="M21" s="169" t="s">
        <v>4351</v>
      </c>
      <c r="N21" s="113">
        <f t="shared" si="4"/>
        <v>2977767.4</v>
      </c>
      <c r="O21" s="99">
        <v>21179</v>
      </c>
      <c r="P21" s="193">
        <f>P45</f>
        <v>140.6</v>
      </c>
      <c r="Q21" s="170">
        <v>54501</v>
      </c>
      <c r="R21" s="99" t="s">
        <v>4289</v>
      </c>
      <c r="S21" s="99">
        <f>S20-24</f>
        <v>28</v>
      </c>
      <c r="T21" s="99" t="s">
        <v>4288</v>
      </c>
      <c r="U21" s="99">
        <v>350</v>
      </c>
      <c r="V21" s="99">
        <f t="shared" si="5"/>
        <v>361.43780821917812</v>
      </c>
      <c r="W21" s="115"/>
      <c r="X21" s="115"/>
      <c r="Y21" s="115"/>
      <c r="Z21" s="115"/>
      <c r="AG21" s="99">
        <v>2</v>
      </c>
      <c r="AH21" s="113" t="s">
        <v>1111</v>
      </c>
      <c r="AI21" s="113">
        <v>2500000</v>
      </c>
      <c r="AJ21" s="99">
        <v>1</v>
      </c>
      <c r="AK21" s="99">
        <f t="shared" ref="AK21:AK63" si="6">AK22+AJ21</f>
        <v>225</v>
      </c>
      <c r="AL21" s="113">
        <f t="shared" ref="AL21:AL88" si="7">AI21*AK21</f>
        <v>562500000</v>
      </c>
      <c r="AM21" s="99"/>
      <c r="AO21" s="96"/>
      <c r="AP21" s="96"/>
      <c r="AQ21" s="96"/>
      <c r="AR21" s="96"/>
      <c r="AU21" s="96"/>
      <c r="AV21" s="96"/>
      <c r="AW21" s="96"/>
      <c r="AX21" s="96"/>
      <c r="AY21" s="96"/>
      <c r="AZ21" s="96"/>
      <c r="BA21" s="96"/>
    </row>
    <row r="22" spans="1:53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/>
      <c r="G22" s="29"/>
      <c r="H22" s="11"/>
      <c r="I22" s="96"/>
      <c r="J22" s="96"/>
      <c r="K22" s="169" t="s">
        <v>456</v>
      </c>
      <c r="L22" s="117">
        <v>206000</v>
      </c>
      <c r="M22" s="169" t="s">
        <v>4290</v>
      </c>
      <c r="N22" s="113">
        <f t="shared" si="4"/>
        <v>129735</v>
      </c>
      <c r="O22" s="99">
        <v>155</v>
      </c>
      <c r="P22" s="193">
        <f>P41</f>
        <v>837</v>
      </c>
      <c r="Q22" s="170">
        <v>1450345</v>
      </c>
      <c r="R22" s="99" t="s">
        <v>4347</v>
      </c>
      <c r="S22" s="99">
        <f>S21-11</f>
        <v>17</v>
      </c>
      <c r="T22" s="99" t="s">
        <v>4353</v>
      </c>
      <c r="U22" s="99">
        <v>313.7</v>
      </c>
      <c r="V22" s="99">
        <f t="shared" si="5"/>
        <v>321.30443178082197</v>
      </c>
      <c r="W22" s="115"/>
      <c r="X22" s="115"/>
      <c r="Y22" s="115"/>
      <c r="Z22" s="115"/>
      <c r="AG22" s="99">
        <v>3</v>
      </c>
      <c r="AH22" s="113" t="s">
        <v>1121</v>
      </c>
      <c r="AI22" s="113">
        <v>8000000</v>
      </c>
      <c r="AJ22" s="99">
        <v>1</v>
      </c>
      <c r="AK22" s="99">
        <f t="shared" si="6"/>
        <v>224</v>
      </c>
      <c r="AL22" s="113">
        <f t="shared" si="7"/>
        <v>1792000000</v>
      </c>
      <c r="AM22" s="99"/>
      <c r="AO22" s="96"/>
      <c r="AP22" s="96"/>
      <c r="AQ22" s="96"/>
      <c r="AR22" s="96"/>
      <c r="AU22" s="96"/>
      <c r="AV22" s="96"/>
      <c r="AW22" s="96"/>
      <c r="AX22" s="96"/>
      <c r="AY22" s="96"/>
      <c r="AZ22" s="96"/>
      <c r="BA22" s="96"/>
    </row>
    <row r="23" spans="1:53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/>
      <c r="I23" s="96"/>
      <c r="J23" s="96"/>
      <c r="K23" s="169"/>
      <c r="L23" s="117"/>
      <c r="M23" s="169" t="s">
        <v>4459</v>
      </c>
      <c r="N23" s="113">
        <f t="shared" si="4"/>
        <v>593823.6</v>
      </c>
      <c r="O23" s="99">
        <v>102</v>
      </c>
      <c r="P23" s="99">
        <f>P44</f>
        <v>5821.8</v>
      </c>
      <c r="Q23" s="170">
        <v>400069</v>
      </c>
      <c r="R23" s="99" t="s">
        <v>4354</v>
      </c>
      <c r="S23" s="99">
        <f>S22-1</f>
        <v>16</v>
      </c>
      <c r="T23" s="99" t="s">
        <v>4355</v>
      </c>
      <c r="U23" s="99">
        <v>314.8</v>
      </c>
      <c r="V23" s="99">
        <f t="shared" si="5"/>
        <v>322.18960657534251</v>
      </c>
      <c r="X23" s="169" t="s">
        <v>180</v>
      </c>
      <c r="Y23" s="169" t="s">
        <v>4325</v>
      </c>
      <c r="Z23" s="113" t="s">
        <v>4331</v>
      </c>
      <c r="AA23" s="113" t="s">
        <v>938</v>
      </c>
      <c r="AB23" s="56"/>
      <c r="AC23" s="56" t="s">
        <v>942</v>
      </c>
      <c r="AD23" s="56" t="s">
        <v>4333</v>
      </c>
      <c r="AE23" s="169" t="s">
        <v>8</v>
      </c>
      <c r="AG23" s="99">
        <v>4</v>
      </c>
      <c r="AH23" s="113" t="s">
        <v>4059</v>
      </c>
      <c r="AI23" s="113">
        <v>-79552</v>
      </c>
      <c r="AJ23" s="99">
        <v>1</v>
      </c>
      <c r="AK23" s="99">
        <f t="shared" si="6"/>
        <v>223</v>
      </c>
      <c r="AL23" s="113">
        <f t="shared" si="7"/>
        <v>-17740096</v>
      </c>
      <c r="AM23" s="99"/>
      <c r="AO23" s="96"/>
      <c r="AP23" s="96"/>
      <c r="AQ23" s="96"/>
      <c r="AR23" s="96"/>
      <c r="AU23" s="96"/>
      <c r="AV23" s="96"/>
      <c r="AW23" s="96"/>
      <c r="AX23" s="96"/>
      <c r="AY23" s="96"/>
      <c r="AZ23" s="96"/>
      <c r="BA23" s="96"/>
    </row>
    <row r="24" spans="1:53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69"/>
      <c r="L24" s="117"/>
      <c r="M24" s="169" t="s">
        <v>4417</v>
      </c>
      <c r="N24" s="113">
        <f t="shared" si="4"/>
        <v>135575</v>
      </c>
      <c r="O24" s="69">
        <v>125</v>
      </c>
      <c r="P24" s="99">
        <f>P40</f>
        <v>1084.5999999999999</v>
      </c>
      <c r="Q24" s="170">
        <v>8690518</v>
      </c>
      <c r="R24" s="99" t="s">
        <v>4354</v>
      </c>
      <c r="S24" s="99">
        <f>S23</f>
        <v>16</v>
      </c>
      <c r="T24" s="99" t="s">
        <v>4356</v>
      </c>
      <c r="U24" s="99">
        <v>313</v>
      </c>
      <c r="V24" s="99">
        <f t="shared" si="5"/>
        <v>320.34735342465757</v>
      </c>
      <c r="X24" s="169" t="s">
        <v>4321</v>
      </c>
      <c r="Y24" s="170">
        <v>42705000</v>
      </c>
      <c r="Z24" s="169" t="s">
        <v>1087</v>
      </c>
      <c r="AA24" s="169">
        <v>7.63</v>
      </c>
      <c r="AB24" s="169"/>
      <c r="AC24" s="113">
        <f>P15</f>
        <v>4150000</v>
      </c>
      <c r="AD24" s="113">
        <f>AA24*AC24</f>
        <v>31664500</v>
      </c>
      <c r="AE24" s="169" t="s">
        <v>4408</v>
      </c>
      <c r="AG24" s="99">
        <v>5</v>
      </c>
      <c r="AH24" s="113" t="s">
        <v>1133</v>
      </c>
      <c r="AI24" s="113">
        <v>165500</v>
      </c>
      <c r="AJ24" s="99">
        <v>12</v>
      </c>
      <c r="AK24" s="99">
        <f t="shared" si="6"/>
        <v>222</v>
      </c>
      <c r="AL24" s="113">
        <f t="shared" si="7"/>
        <v>36741000</v>
      </c>
      <c r="AM24" s="99"/>
      <c r="AO24" s="96"/>
      <c r="AP24" s="96"/>
      <c r="AQ24" s="96"/>
      <c r="AR24" s="96"/>
      <c r="AU24" s="96"/>
      <c r="AV24" s="96"/>
      <c r="AW24" s="96"/>
      <c r="AX24" s="96"/>
      <c r="AY24" s="96"/>
      <c r="AZ24" s="96"/>
      <c r="BA24" s="96"/>
    </row>
    <row r="25" spans="1:53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69"/>
      <c r="L25" s="117"/>
      <c r="M25" s="169"/>
      <c r="N25" s="113"/>
      <c r="O25" s="115"/>
      <c r="P25" s="115" t="s">
        <v>25</v>
      </c>
      <c r="Q25" s="170">
        <v>3000094</v>
      </c>
      <c r="R25" s="99" t="s">
        <v>4354</v>
      </c>
      <c r="S25" s="99">
        <f>S24</f>
        <v>16</v>
      </c>
      <c r="T25" s="99" t="s">
        <v>4357</v>
      </c>
      <c r="U25" s="99">
        <v>141</v>
      </c>
      <c r="V25" s="99">
        <f t="shared" si="5"/>
        <v>144.30983013698631</v>
      </c>
      <c r="X25" s="113" t="s">
        <v>4330</v>
      </c>
      <c r="Y25" s="170">
        <v>-11344820</v>
      </c>
      <c r="Z25" s="56" t="s">
        <v>4334</v>
      </c>
      <c r="AA25" s="56">
        <v>-80808</v>
      </c>
      <c r="AB25" s="56" t="s">
        <v>4337</v>
      </c>
      <c r="AC25" s="169">
        <f>P45</f>
        <v>140.6</v>
      </c>
      <c r="AD25" s="113">
        <f>AA25*AC25</f>
        <v>-11361604.799999999</v>
      </c>
      <c r="AE25" s="169"/>
      <c r="AG25" s="99">
        <v>6</v>
      </c>
      <c r="AH25" s="113" t="s">
        <v>1159</v>
      </c>
      <c r="AI25" s="113">
        <v>-28830327</v>
      </c>
      <c r="AJ25" s="99">
        <v>6</v>
      </c>
      <c r="AK25" s="99">
        <f t="shared" si="6"/>
        <v>210</v>
      </c>
      <c r="AL25" s="113">
        <f t="shared" si="7"/>
        <v>-6054368670</v>
      </c>
      <c r="AM25" s="99"/>
      <c r="AO25" s="96"/>
      <c r="AP25" s="96"/>
      <c r="AQ25" s="96"/>
      <c r="AR25" s="96"/>
      <c r="AU25" s="96"/>
      <c r="AV25" s="96"/>
      <c r="AW25" s="96"/>
      <c r="AX25" s="96"/>
      <c r="AY25" s="96"/>
      <c r="AZ25" s="96"/>
      <c r="BA25" s="96"/>
    </row>
    <row r="26" spans="1:53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69" t="s">
        <v>25</v>
      </c>
      <c r="L26" s="117"/>
      <c r="M26" s="169" t="s">
        <v>756</v>
      </c>
      <c r="N26" s="113">
        <v>3000000</v>
      </c>
      <c r="O26" s="22"/>
      <c r="Q26" s="170">
        <v>106732</v>
      </c>
      <c r="R26" s="99" t="s">
        <v>4401</v>
      </c>
      <c r="S26" s="99">
        <f>S25-8</f>
        <v>8</v>
      </c>
      <c r="T26" s="99" t="s">
        <v>4418</v>
      </c>
      <c r="U26" s="99">
        <v>850</v>
      </c>
      <c r="V26" s="99">
        <f t="shared" si="5"/>
        <v>864.7364383561644</v>
      </c>
      <c r="X26" s="113" t="s">
        <v>4354</v>
      </c>
      <c r="Y26" s="170">
        <v>-8690518</v>
      </c>
      <c r="Z26" s="169" t="s">
        <v>4338</v>
      </c>
      <c r="AA26" s="169">
        <v>-27637</v>
      </c>
      <c r="AB26" s="169" t="s">
        <v>4332</v>
      </c>
      <c r="AC26" s="169">
        <f>P43</f>
        <v>305</v>
      </c>
      <c r="AD26" s="113">
        <f t="shared" ref="AD26:AD28" si="8">AA26*AC26</f>
        <v>-8429285</v>
      </c>
      <c r="AE26" s="169"/>
      <c r="AG26" s="99">
        <v>7</v>
      </c>
      <c r="AH26" s="113" t="s">
        <v>1184</v>
      </c>
      <c r="AI26" s="113">
        <v>18500000</v>
      </c>
      <c r="AJ26" s="99">
        <v>1</v>
      </c>
      <c r="AK26" s="99">
        <f t="shared" si="6"/>
        <v>204</v>
      </c>
      <c r="AL26" s="113">
        <f t="shared" si="7"/>
        <v>3774000000</v>
      </c>
      <c r="AM26" s="99"/>
      <c r="AO26" s="96"/>
      <c r="AS26"/>
      <c r="AU26" s="96"/>
      <c r="AV26" s="96"/>
      <c r="AW26" s="96"/>
      <c r="AX26" s="96"/>
      <c r="AY26" s="96"/>
      <c r="AZ26" s="96"/>
      <c r="BA26" s="96"/>
    </row>
    <row r="27" spans="1:53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69" t="s">
        <v>918</v>
      </c>
      <c r="L27" s="117">
        <v>4800000</v>
      </c>
      <c r="M27" s="169" t="s">
        <v>4158</v>
      </c>
      <c r="N27" s="113">
        <f>-1*L19</f>
        <v>-57302066</v>
      </c>
      <c r="P27" t="s">
        <v>25</v>
      </c>
      <c r="Q27" s="170">
        <v>595156</v>
      </c>
      <c r="R27" s="99" t="s">
        <v>4457</v>
      </c>
      <c r="S27" s="99">
        <f>S26-8</f>
        <v>0</v>
      </c>
      <c r="T27" s="99" t="s">
        <v>4460</v>
      </c>
      <c r="U27" s="99">
        <v>5808.5</v>
      </c>
      <c r="V27" s="99">
        <f t="shared" si="5"/>
        <v>5873.5552000000007</v>
      </c>
      <c r="X27" s="113" t="s">
        <v>4457</v>
      </c>
      <c r="Y27" s="170">
        <v>-595156</v>
      </c>
      <c r="Z27" s="169" t="s">
        <v>4459</v>
      </c>
      <c r="AA27" s="169">
        <v>-102</v>
      </c>
      <c r="AB27" s="169" t="s">
        <v>4332</v>
      </c>
      <c r="AC27" s="169">
        <f>P44</f>
        <v>5821.8</v>
      </c>
      <c r="AD27" s="113">
        <f t="shared" si="8"/>
        <v>-593823.6</v>
      </c>
      <c r="AE27" s="169"/>
      <c r="AG27" s="99">
        <v>8</v>
      </c>
      <c r="AH27" s="113" t="s">
        <v>1193</v>
      </c>
      <c r="AI27" s="113">
        <v>-18550000</v>
      </c>
      <c r="AJ27" s="99">
        <v>1</v>
      </c>
      <c r="AK27" s="99">
        <f t="shared" si="6"/>
        <v>203</v>
      </c>
      <c r="AL27" s="113">
        <f t="shared" si="7"/>
        <v>-3765650000</v>
      </c>
      <c r="AM27" s="99"/>
      <c r="AO27" s="96"/>
      <c r="AS27"/>
      <c r="AU27" s="96"/>
      <c r="AV27" s="96"/>
      <c r="AW27" s="96"/>
      <c r="AX27" s="96"/>
      <c r="AY27" s="96"/>
      <c r="AZ27" s="96"/>
      <c r="BA27" s="96"/>
    </row>
    <row r="28" spans="1:53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69" t="s">
        <v>929</v>
      </c>
      <c r="L28" s="117">
        <v>0</v>
      </c>
      <c r="M28" s="169" t="s">
        <v>753</v>
      </c>
      <c r="N28" s="113">
        <v>500000</v>
      </c>
      <c r="O28" t="s">
        <v>25</v>
      </c>
      <c r="P28" t="s">
        <v>25</v>
      </c>
      <c r="Q28" s="170"/>
      <c r="R28" s="99"/>
      <c r="S28" s="99"/>
      <c r="T28" s="99"/>
      <c r="U28" s="99"/>
      <c r="V28" s="99"/>
      <c r="X28" s="113" t="s">
        <v>4457</v>
      </c>
      <c r="Y28" s="170">
        <v>-2010885</v>
      </c>
      <c r="Z28" s="169" t="s">
        <v>4253</v>
      </c>
      <c r="AA28" s="169">
        <v>-9904</v>
      </c>
      <c r="AB28" s="169" t="s">
        <v>4337</v>
      </c>
      <c r="AC28" s="169">
        <f>P38</f>
        <v>203.2</v>
      </c>
      <c r="AD28" s="113">
        <f t="shared" si="8"/>
        <v>-2012492.7999999998</v>
      </c>
      <c r="AE28" s="169"/>
      <c r="AG28" s="99">
        <v>9</v>
      </c>
      <c r="AH28" s="113" t="s">
        <v>1200</v>
      </c>
      <c r="AI28" s="113">
        <v>-64961</v>
      </c>
      <c r="AJ28" s="99">
        <v>5</v>
      </c>
      <c r="AK28" s="99">
        <f t="shared" si="6"/>
        <v>202</v>
      </c>
      <c r="AL28" s="113">
        <f t="shared" si="7"/>
        <v>-13122122</v>
      </c>
      <c r="AM28" s="99"/>
      <c r="AO28" s="96"/>
      <c r="AS28" t="s">
        <v>25</v>
      </c>
      <c r="AU28" s="96"/>
      <c r="AV28" s="96"/>
      <c r="AW28" s="96"/>
      <c r="AX28" s="96"/>
      <c r="AY28" s="96"/>
      <c r="AZ28" s="96"/>
      <c r="BA28" s="96"/>
    </row>
    <row r="29" spans="1:53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69" t="s">
        <v>1087</v>
      </c>
      <c r="L29" s="117">
        <f>65*P15</f>
        <v>269750000</v>
      </c>
      <c r="M29" s="169" t="s">
        <v>760</v>
      </c>
      <c r="N29" s="113">
        <v>1200000</v>
      </c>
      <c r="O29" t="s">
        <v>25</v>
      </c>
      <c r="P29" t="s">
        <v>25</v>
      </c>
      <c r="Q29" s="170">
        <f>SUM(N19:N24)-SUM(Q20:Q28)</f>
        <v>248508.60000000149</v>
      </c>
      <c r="R29" s="99"/>
      <c r="S29" s="99" t="s">
        <v>25</v>
      </c>
      <c r="T29" s="99"/>
      <c r="U29" s="99"/>
      <c r="V29" s="99"/>
      <c r="X29" s="113"/>
      <c r="Y29" s="170"/>
      <c r="Z29" s="169"/>
      <c r="AA29" s="169"/>
      <c r="AB29" s="169"/>
      <c r="AC29" s="169"/>
      <c r="AD29" s="113"/>
      <c r="AE29" s="169"/>
      <c r="AG29" s="99">
        <v>10</v>
      </c>
      <c r="AH29" s="113" t="s">
        <v>1216</v>
      </c>
      <c r="AI29" s="113">
        <v>6400000</v>
      </c>
      <c r="AJ29" s="99">
        <v>1</v>
      </c>
      <c r="AK29" s="99">
        <f t="shared" si="6"/>
        <v>197</v>
      </c>
      <c r="AL29" s="113">
        <f t="shared" si="7"/>
        <v>1260800000</v>
      </c>
      <c r="AM29" s="99"/>
      <c r="AO29" s="96"/>
      <c r="AU29" s="96"/>
      <c r="AV29" s="96"/>
      <c r="AW29" s="96"/>
      <c r="AX29" s="96"/>
      <c r="AY29" s="96"/>
      <c r="AZ29" s="96"/>
      <c r="BA29" s="96"/>
    </row>
    <row r="30" spans="1:53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169" t="s">
        <v>4156</v>
      </c>
      <c r="L30" s="117">
        <v>-50000000</v>
      </c>
      <c r="M30" s="73" t="s">
        <v>4323</v>
      </c>
      <c r="N30" s="113">
        <v>4065298</v>
      </c>
      <c r="O30" s="22"/>
      <c r="P30" t="s">
        <v>25</v>
      </c>
      <c r="R30" s="115"/>
      <c r="S30" s="115"/>
      <c r="T30" s="115"/>
      <c r="U30" s="115"/>
      <c r="V30" s="115"/>
      <c r="X30" s="113"/>
      <c r="Y30" s="56"/>
      <c r="Z30" s="169"/>
      <c r="AA30" s="169"/>
      <c r="AB30" s="169"/>
      <c r="AC30" s="169"/>
      <c r="AD30" s="113">
        <v>-10850889</v>
      </c>
      <c r="AE30" s="169" t="s">
        <v>4454</v>
      </c>
      <c r="AG30" s="99">
        <v>11</v>
      </c>
      <c r="AH30" s="113" t="s">
        <v>4060</v>
      </c>
      <c r="AI30" s="113">
        <v>-170000</v>
      </c>
      <c r="AJ30" s="99">
        <v>5</v>
      </c>
      <c r="AK30" s="99">
        <f t="shared" si="6"/>
        <v>196</v>
      </c>
      <c r="AL30" s="113">
        <f t="shared" si="7"/>
        <v>-33320000</v>
      </c>
      <c r="AM30" s="99"/>
      <c r="AO30" s="96"/>
      <c r="AP30" s="99" t="s">
        <v>1135</v>
      </c>
      <c r="AQ30" s="99" t="s">
        <v>4252</v>
      </c>
      <c r="AR30" s="99" t="s">
        <v>938</v>
      </c>
      <c r="AS30" s="99" t="s">
        <v>180</v>
      </c>
      <c r="AT30" s="69" t="s">
        <v>8</v>
      </c>
      <c r="AU30" s="69" t="s">
        <v>267</v>
      </c>
      <c r="AV30" s="96"/>
      <c r="AW30" s="96"/>
      <c r="AX30" s="96"/>
      <c r="AY30" s="96"/>
      <c r="AZ30" s="96"/>
      <c r="BA30" s="96"/>
    </row>
    <row r="31" spans="1:53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169" t="s">
        <v>4370</v>
      </c>
      <c r="L31" s="117">
        <v>-2985000</v>
      </c>
      <c r="M31" s="169" t="s">
        <v>1087</v>
      </c>
      <c r="N31" s="113">
        <f>65*P15</f>
        <v>269750000</v>
      </c>
      <c r="P31" t="s">
        <v>25</v>
      </c>
      <c r="R31" s="115"/>
      <c r="S31" s="115"/>
      <c r="T31" s="115"/>
      <c r="U31" s="115"/>
      <c r="V31" s="115"/>
      <c r="X31" s="26"/>
      <c r="Y31" s="186"/>
      <c r="Z31" s="186"/>
      <c r="AA31" s="186"/>
      <c r="AB31" s="186"/>
      <c r="AC31" s="186"/>
      <c r="AD31" s="186"/>
      <c r="AE31" s="186"/>
      <c r="AG31" s="99">
        <v>12</v>
      </c>
      <c r="AH31" s="113" t="s">
        <v>1236</v>
      </c>
      <c r="AI31" s="113">
        <v>-6300000</v>
      </c>
      <c r="AJ31" s="99">
        <v>1</v>
      </c>
      <c r="AK31" s="99">
        <f>AK32+AJ31</f>
        <v>191</v>
      </c>
      <c r="AL31" s="113">
        <f t="shared" si="7"/>
        <v>-1203300000</v>
      </c>
      <c r="AM31" s="99"/>
      <c r="AO31" s="96"/>
      <c r="AP31" s="99">
        <v>1</v>
      </c>
      <c r="AQ31" s="170" t="s">
        <v>4253</v>
      </c>
      <c r="AR31" s="99">
        <v>18290</v>
      </c>
      <c r="AS31" s="99" t="s">
        <v>4181</v>
      </c>
      <c r="AT31" s="99" t="s">
        <v>4254</v>
      </c>
      <c r="AU31" s="170">
        <v>3465500</v>
      </c>
      <c r="AV31" s="96"/>
      <c r="AW31" s="96"/>
      <c r="AX31" s="96"/>
      <c r="AY31" s="96"/>
      <c r="AZ31" s="96"/>
      <c r="BA31" s="96"/>
    </row>
    <row r="32" spans="1:53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169" t="s">
        <v>4384</v>
      </c>
      <c r="L32" s="117">
        <v>1000000</v>
      </c>
      <c r="M32" s="169" t="s">
        <v>4361</v>
      </c>
      <c r="N32" s="113">
        <v>-20000000</v>
      </c>
      <c r="Q32" t="s">
        <v>25</v>
      </c>
      <c r="S32" s="26" t="s">
        <v>25</v>
      </c>
      <c r="T32" t="s">
        <v>25</v>
      </c>
      <c r="V32" s="115"/>
      <c r="X32" s="26"/>
      <c r="Y32" s="186"/>
      <c r="Z32" s="186"/>
      <c r="AA32" s="186"/>
      <c r="AB32" s="186"/>
      <c r="AC32" s="186"/>
      <c r="AD32" s="42">
        <f>SUM(AD24:AD30)</f>
        <v>-1583595.1999999955</v>
      </c>
      <c r="AE32" s="186"/>
      <c r="AG32" s="99">
        <v>13</v>
      </c>
      <c r="AH32" s="113" t="s">
        <v>1245</v>
      </c>
      <c r="AI32" s="113">
        <v>-52015</v>
      </c>
      <c r="AJ32" s="99">
        <v>16</v>
      </c>
      <c r="AK32" s="99">
        <f t="shared" si="6"/>
        <v>190</v>
      </c>
      <c r="AL32" s="113">
        <f t="shared" si="7"/>
        <v>-9882850</v>
      </c>
      <c r="AM32" s="99"/>
      <c r="AO32" s="96"/>
      <c r="AP32" s="99">
        <v>2</v>
      </c>
      <c r="AQ32" s="170" t="s">
        <v>4253</v>
      </c>
      <c r="AR32" s="99">
        <v>24813</v>
      </c>
      <c r="AS32" s="99" t="s">
        <v>4250</v>
      </c>
      <c r="AT32" s="99" t="s">
        <v>4255</v>
      </c>
      <c r="AU32" s="170">
        <v>4995629</v>
      </c>
      <c r="AV32" s="96"/>
      <c r="AW32" s="96"/>
      <c r="AX32" s="96"/>
      <c r="AY32" s="96"/>
      <c r="AZ32" s="96"/>
      <c r="BA32" s="96"/>
    </row>
    <row r="33" spans="1:53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169" t="s">
        <v>4431</v>
      </c>
      <c r="L33" s="117">
        <v>-26000</v>
      </c>
      <c r="M33" s="169" t="s">
        <v>4393</v>
      </c>
      <c r="N33" s="113">
        <v>-50000000</v>
      </c>
      <c r="O33" s="96" t="s">
        <v>25</v>
      </c>
      <c r="P33" s="96"/>
      <c r="T33" t="s">
        <v>25</v>
      </c>
      <c r="X33" s="41"/>
      <c r="Y33" s="186"/>
      <c r="Z33" s="186"/>
      <c r="AA33" s="186"/>
      <c r="AB33" s="186"/>
      <c r="AC33" s="186"/>
      <c r="AD33" s="186" t="s">
        <v>945</v>
      </c>
      <c r="AE33" s="186"/>
      <c r="AG33" s="99">
        <v>14</v>
      </c>
      <c r="AH33" s="113" t="s">
        <v>3711</v>
      </c>
      <c r="AI33" s="113">
        <v>20017400</v>
      </c>
      <c r="AJ33" s="99">
        <v>0</v>
      </c>
      <c r="AK33" s="99">
        <f t="shared" si="6"/>
        <v>174</v>
      </c>
      <c r="AL33" s="113">
        <f t="shared" si="7"/>
        <v>3483027600</v>
      </c>
      <c r="AM33" s="99"/>
      <c r="AO33" s="96"/>
      <c r="AP33" s="99">
        <v>3</v>
      </c>
      <c r="AQ33" s="170" t="s">
        <v>4253</v>
      </c>
      <c r="AR33" s="99">
        <v>26189</v>
      </c>
      <c r="AS33" s="99" t="s">
        <v>4271</v>
      </c>
      <c r="AT33" s="99" t="s">
        <v>4272</v>
      </c>
      <c r="AU33" s="170">
        <v>5006890</v>
      </c>
      <c r="AV33" s="96"/>
      <c r="AW33" s="96"/>
      <c r="AX33" s="96"/>
      <c r="AY33" s="96"/>
      <c r="AZ33" s="96"/>
      <c r="BA33" s="96"/>
    </row>
    <row r="34" spans="1:53" ht="15" customHeight="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99" t="s">
        <v>4456</v>
      </c>
      <c r="L34" s="117">
        <v>-200000</v>
      </c>
      <c r="M34" s="169" t="s">
        <v>4384</v>
      </c>
      <c r="N34" s="113">
        <v>1000000</v>
      </c>
      <c r="O34" s="96"/>
      <c r="P34" s="96"/>
      <c r="X34" s="115"/>
      <c r="Y34" s="115"/>
      <c r="Z34" s="115"/>
      <c r="AA34" s="115"/>
      <c r="AB34" s="115"/>
      <c r="AC34" s="115" t="s">
        <v>4455</v>
      </c>
      <c r="AD34" s="113">
        <f>SUM(AD25:AD30)/AA24</f>
        <v>-4357548.5190039314</v>
      </c>
      <c r="AE34" s="115" t="s">
        <v>25</v>
      </c>
      <c r="AG34" s="99">
        <v>15</v>
      </c>
      <c r="AH34" s="113" t="s">
        <v>3711</v>
      </c>
      <c r="AI34" s="113">
        <v>1014466</v>
      </c>
      <c r="AJ34" s="99">
        <v>12</v>
      </c>
      <c r="AK34" s="99">
        <f t="shared" si="6"/>
        <v>174</v>
      </c>
      <c r="AL34" s="113">
        <f t="shared" si="7"/>
        <v>176517084</v>
      </c>
      <c r="AM34" s="99"/>
      <c r="AO34" s="96"/>
      <c r="AP34" s="183"/>
      <c r="AQ34" s="184" t="s">
        <v>4256</v>
      </c>
      <c r="AR34" s="183"/>
      <c r="AS34" s="183"/>
      <c r="AT34" s="183"/>
      <c r="AU34" s="184"/>
      <c r="AV34" s="96"/>
      <c r="AW34" s="96"/>
      <c r="AX34" s="96"/>
      <c r="AY34" s="96"/>
      <c r="AZ34" s="96"/>
      <c r="BA34" s="96"/>
    </row>
    <row r="35" spans="1:53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9">E34*$L$2+C35-D35</f>
        <v>358188786.24271059</v>
      </c>
      <c r="F35" s="3"/>
      <c r="G35" s="11"/>
      <c r="H35" s="11"/>
      <c r="K35" s="99"/>
      <c r="L35" s="99"/>
      <c r="M35" s="169" t="s">
        <v>3892</v>
      </c>
      <c r="N35" s="113">
        <v>2147566</v>
      </c>
      <c r="O35" s="99" t="s">
        <v>938</v>
      </c>
      <c r="P35" s="99" t="s">
        <v>3933</v>
      </c>
      <c r="X35" s="115"/>
      <c r="Y35" s="115"/>
      <c r="Z35" s="115"/>
      <c r="AA35" s="115"/>
      <c r="AB35" s="115"/>
      <c r="AC35" s="115"/>
      <c r="AD35" s="115"/>
      <c r="AE35" s="115"/>
      <c r="AG35" s="99">
        <v>16</v>
      </c>
      <c r="AH35" s="113" t="s">
        <v>1147</v>
      </c>
      <c r="AI35" s="113">
        <v>360000</v>
      </c>
      <c r="AJ35" s="99">
        <v>2</v>
      </c>
      <c r="AK35" s="99">
        <f t="shared" si="6"/>
        <v>162</v>
      </c>
      <c r="AL35" s="113">
        <f t="shared" si="7"/>
        <v>58320000</v>
      </c>
      <c r="AM35" s="99"/>
      <c r="AO35" s="96"/>
      <c r="AP35" s="183"/>
      <c r="AQ35" s="184" t="s">
        <v>4253</v>
      </c>
      <c r="AR35" s="183">
        <v>19666</v>
      </c>
      <c r="AS35" s="183" t="s">
        <v>4271</v>
      </c>
      <c r="AT35" s="183" t="s">
        <v>4273</v>
      </c>
      <c r="AU35" s="184"/>
      <c r="AV35" s="96"/>
      <c r="AW35" s="96"/>
      <c r="AX35" s="96"/>
      <c r="AY35" s="96"/>
      <c r="AZ35" s="96"/>
      <c r="BA35" s="96"/>
    </row>
    <row r="36" spans="1:53" ht="30">
      <c r="A36" s="61">
        <v>98</v>
      </c>
      <c r="B36" s="11">
        <v>34</v>
      </c>
      <c r="C36" s="3">
        <f t="shared" ref="C36:C62" si="10">C35*$K$2</f>
        <v>4498230.5822681794</v>
      </c>
      <c r="D36" s="3">
        <f t="shared" ref="D36:D62" si="11">D35*$K$2</f>
        <v>3654042.1031301799</v>
      </c>
      <c r="E36" s="3">
        <f t="shared" si="9"/>
        <v>366196750.44670284</v>
      </c>
      <c r="F36" s="3"/>
      <c r="G36" s="11"/>
      <c r="H36" s="11"/>
      <c r="K36" s="56"/>
      <c r="L36" s="117"/>
      <c r="M36" s="169"/>
      <c r="N36" s="113"/>
      <c r="O36" s="99"/>
      <c r="P36" s="99"/>
      <c r="Q36" s="73" t="s">
        <v>4337</v>
      </c>
      <c r="R36" s="112"/>
      <c r="S36" s="112"/>
      <c r="T36" s="112"/>
      <c r="U36" s="169" t="s">
        <v>4420</v>
      </c>
      <c r="V36" s="36" t="s">
        <v>4422</v>
      </c>
      <c r="X36" s="115"/>
      <c r="Y36" s="115"/>
      <c r="Z36" s="115"/>
      <c r="AA36" s="115"/>
      <c r="AB36" s="115"/>
      <c r="AC36" s="115"/>
      <c r="AD36" s="115"/>
      <c r="AE36" s="115"/>
      <c r="AG36" s="99">
        <v>17</v>
      </c>
      <c r="AH36" s="113" t="s">
        <v>3771</v>
      </c>
      <c r="AI36" s="113">
        <v>-350000</v>
      </c>
      <c r="AJ36" s="99">
        <v>0</v>
      </c>
      <c r="AK36" s="99">
        <f t="shared" si="6"/>
        <v>160</v>
      </c>
      <c r="AL36" s="113">
        <f t="shared" si="7"/>
        <v>-56000000</v>
      </c>
      <c r="AM36" s="99"/>
      <c r="AO36" s="96"/>
      <c r="AP36" s="183"/>
      <c r="AQ36" s="184"/>
      <c r="AR36" s="183"/>
      <c r="AS36" s="183"/>
      <c r="AT36" s="183"/>
      <c r="AU36" s="184"/>
      <c r="AV36" s="96"/>
      <c r="AW36" s="96"/>
      <c r="AX36" s="96"/>
      <c r="AY36" s="96"/>
      <c r="AZ36" s="96"/>
      <c r="BA36" s="96"/>
    </row>
    <row r="37" spans="1:53">
      <c r="A37" s="61">
        <v>98</v>
      </c>
      <c r="B37" s="11">
        <v>35</v>
      </c>
      <c r="C37" s="3">
        <f t="shared" si="10"/>
        <v>4543212.888090861</v>
      </c>
      <c r="D37" s="3">
        <f t="shared" si="11"/>
        <v>3690582.5241614818</v>
      </c>
      <c r="E37" s="3">
        <f t="shared" si="9"/>
        <v>374373315.81956631</v>
      </c>
      <c r="F37" s="3"/>
      <c r="G37" s="11"/>
      <c r="H37" s="11"/>
      <c r="K37" s="56"/>
      <c r="L37" s="117"/>
      <c r="M37" s="32" t="s">
        <v>4452</v>
      </c>
      <c r="N37" s="113">
        <f t="shared" ref="N37:N45" si="12">O37*P37</f>
        <v>2368419.3000000003</v>
      </c>
      <c r="O37" s="99">
        <v>611</v>
      </c>
      <c r="P37" s="99">
        <v>3876.3</v>
      </c>
      <c r="Q37" s="112" t="s">
        <v>267</v>
      </c>
      <c r="R37" s="112" t="s">
        <v>180</v>
      </c>
      <c r="S37" s="112" t="s">
        <v>183</v>
      </c>
      <c r="T37" s="112" t="s">
        <v>8</v>
      </c>
      <c r="U37" s="169"/>
      <c r="V37" s="99"/>
      <c r="W37"/>
      <c r="X37" s="115" t="s">
        <v>25</v>
      </c>
      <c r="Y37" s="115"/>
      <c r="Z37" s="115"/>
      <c r="AA37" s="115"/>
      <c r="AB37" s="115"/>
      <c r="AC37" s="115"/>
      <c r="AD37" s="115"/>
      <c r="AE37" s="115"/>
      <c r="AG37" s="99">
        <v>18</v>
      </c>
      <c r="AH37" s="113" t="s">
        <v>3771</v>
      </c>
      <c r="AI37" s="113">
        <v>1000</v>
      </c>
      <c r="AJ37" s="99">
        <v>1</v>
      </c>
      <c r="AK37" s="99">
        <f t="shared" si="6"/>
        <v>160</v>
      </c>
      <c r="AL37" s="113">
        <f t="shared" si="7"/>
        <v>160000</v>
      </c>
      <c r="AM37" s="99"/>
      <c r="AO37" s="96"/>
      <c r="AP37" s="99"/>
      <c r="AQ37" s="170"/>
      <c r="AR37" s="99"/>
      <c r="AS37" s="99"/>
      <c r="AT37" s="99"/>
      <c r="AU37" s="170"/>
      <c r="AV37" s="96"/>
      <c r="AW37" s="96"/>
      <c r="AX37" s="96"/>
      <c r="AY37" s="96"/>
      <c r="AZ37" s="96"/>
      <c r="BA37" s="96"/>
    </row>
    <row r="38" spans="1:53" ht="18.75">
      <c r="A38" s="61">
        <v>98</v>
      </c>
      <c r="B38" s="11">
        <v>36</v>
      </c>
      <c r="C38" s="3">
        <f t="shared" si="10"/>
        <v>4588645.0169717697</v>
      </c>
      <c r="D38" s="3">
        <f t="shared" si="11"/>
        <v>3727488.3494030968</v>
      </c>
      <c r="E38" s="46">
        <f t="shared" si="9"/>
        <v>382721938.80352634</v>
      </c>
      <c r="F38" s="3"/>
      <c r="G38" s="11"/>
      <c r="H38" s="11"/>
      <c r="K38" s="56"/>
      <c r="L38" s="117"/>
      <c r="M38" s="169" t="s">
        <v>4188</v>
      </c>
      <c r="N38" s="113">
        <f t="shared" si="12"/>
        <v>211194294.39999998</v>
      </c>
      <c r="O38" s="99">
        <v>1039342</v>
      </c>
      <c r="P38" s="99">
        <v>203.2</v>
      </c>
      <c r="Q38" s="170">
        <v>184971545</v>
      </c>
      <c r="R38" s="169" t="s">
        <v>4181</v>
      </c>
      <c r="S38" s="169">
        <v>53</v>
      </c>
      <c r="T38" s="169" t="s">
        <v>4399</v>
      </c>
      <c r="U38" s="169">
        <v>192</v>
      </c>
      <c r="V38" s="99">
        <f t="shared" ref="V38:V51" si="13">U38*(1+$R$64+$Q$15*S38/36500)</f>
        <v>201.95664657534249</v>
      </c>
      <c r="W38"/>
      <c r="X38" s="115"/>
      <c r="Y38" s="115"/>
      <c r="Z38" s="115"/>
      <c r="AA38" s="115"/>
      <c r="AB38" s="115"/>
      <c r="AC38" s="115"/>
      <c r="AD38" s="115"/>
      <c r="AE38" s="115" t="s">
        <v>25</v>
      </c>
      <c r="AG38" s="99">
        <v>19</v>
      </c>
      <c r="AH38" s="113" t="s">
        <v>3775</v>
      </c>
      <c r="AI38" s="113">
        <v>33610000</v>
      </c>
      <c r="AJ38" s="99">
        <v>4</v>
      </c>
      <c r="AK38" s="99">
        <f t="shared" si="6"/>
        <v>159</v>
      </c>
      <c r="AL38" s="113">
        <f t="shared" si="7"/>
        <v>5343990000</v>
      </c>
      <c r="AM38" s="99"/>
      <c r="AO38" s="96"/>
      <c r="AP38" s="99"/>
      <c r="AQ38" s="170"/>
      <c r="AR38" s="99"/>
      <c r="AS38" s="180"/>
      <c r="AT38" s="99"/>
      <c r="AU38" s="170"/>
      <c r="AV38" s="96"/>
      <c r="AW38" s="96"/>
      <c r="AX38" s="96"/>
      <c r="AY38" s="96"/>
      <c r="AZ38" s="96"/>
      <c r="BA38" s="96"/>
    </row>
    <row r="39" spans="1:53">
      <c r="A39" s="62">
        <v>99</v>
      </c>
      <c r="B39" s="11">
        <v>37</v>
      </c>
      <c r="C39" s="44">
        <f t="shared" si="10"/>
        <v>4634531.4671414876</v>
      </c>
      <c r="D39" s="3">
        <f t="shared" si="11"/>
        <v>3764763.232897128</v>
      </c>
      <c r="E39" s="3">
        <f t="shared" si="9"/>
        <v>391246145.81384128</v>
      </c>
      <c r="F39" s="3"/>
      <c r="G39" s="11"/>
      <c r="H39" s="11"/>
      <c r="K39" s="56"/>
      <c r="L39" s="117"/>
      <c r="M39" s="169" t="s">
        <v>4270</v>
      </c>
      <c r="N39" s="113">
        <f t="shared" si="12"/>
        <v>3996131.1999999997</v>
      </c>
      <c r="O39" s="99">
        <v>19666</v>
      </c>
      <c r="P39" s="99">
        <f>P38</f>
        <v>203.2</v>
      </c>
      <c r="Q39" s="170">
        <v>3759803</v>
      </c>
      <c r="R39" s="169" t="s">
        <v>4271</v>
      </c>
      <c r="S39" s="169">
        <f>S38-21</f>
        <v>32</v>
      </c>
      <c r="T39" s="169" t="s">
        <v>4280</v>
      </c>
      <c r="U39" s="169">
        <v>190.3</v>
      </c>
      <c r="V39" s="99">
        <f t="shared" si="13"/>
        <v>197.10283397260278</v>
      </c>
      <c r="W39" t="s">
        <v>25</v>
      </c>
      <c r="X39" s="115"/>
      <c r="Y39" s="115"/>
      <c r="Z39" s="115"/>
      <c r="AA39" s="115"/>
      <c r="AB39" s="115"/>
      <c r="AC39" s="115"/>
      <c r="AD39" s="115"/>
      <c r="AE39" s="115"/>
      <c r="AG39" s="99">
        <v>20</v>
      </c>
      <c r="AH39" s="113" t="s">
        <v>4061</v>
      </c>
      <c r="AI39" s="113">
        <v>-15600000</v>
      </c>
      <c r="AJ39" s="99">
        <v>3</v>
      </c>
      <c r="AK39" s="99">
        <f t="shared" si="6"/>
        <v>155</v>
      </c>
      <c r="AL39" s="113">
        <f t="shared" si="7"/>
        <v>-2418000000</v>
      </c>
      <c r="AM39" s="99"/>
      <c r="AO39" s="96"/>
      <c r="AP39" s="99"/>
      <c r="AQ39" s="99"/>
      <c r="AR39" s="99"/>
      <c r="AS39" s="99"/>
      <c r="AT39" s="99"/>
      <c r="AU39" s="170"/>
      <c r="AV39" s="96"/>
      <c r="AW39" s="96"/>
      <c r="AX39" s="96"/>
      <c r="AY39" s="96"/>
      <c r="AZ39" s="96"/>
      <c r="BA39" s="96"/>
    </row>
    <row r="40" spans="1:53">
      <c r="A40" s="62">
        <v>99</v>
      </c>
      <c r="B40" s="11">
        <v>38</v>
      </c>
      <c r="C40" s="44">
        <f t="shared" si="10"/>
        <v>4680876.7818129025</v>
      </c>
      <c r="D40" s="3">
        <f t="shared" si="11"/>
        <v>3802410.8652260993</v>
      </c>
      <c r="E40" s="3">
        <f t="shared" si="9"/>
        <v>399949534.64670491</v>
      </c>
      <c r="F40" s="3"/>
      <c r="G40" s="11"/>
      <c r="H40" s="11"/>
      <c r="K40" s="56"/>
      <c r="L40" s="117"/>
      <c r="M40" s="169" t="s">
        <v>4417</v>
      </c>
      <c r="N40" s="113">
        <f t="shared" si="12"/>
        <v>136659.59999999998</v>
      </c>
      <c r="O40" s="99">
        <v>126</v>
      </c>
      <c r="P40" s="99">
        <v>1084.5999999999999</v>
      </c>
      <c r="Q40" s="170">
        <v>54501</v>
      </c>
      <c r="R40" s="169" t="s">
        <v>4289</v>
      </c>
      <c r="S40" s="169">
        <f>S39-4</f>
        <v>28</v>
      </c>
      <c r="T40" s="169" t="s">
        <v>4288</v>
      </c>
      <c r="U40" s="169">
        <v>350</v>
      </c>
      <c r="V40" s="99">
        <f t="shared" si="13"/>
        <v>361.43780821917812</v>
      </c>
      <c r="X40" s="115"/>
      <c r="Y40" s="115"/>
      <c r="Z40" s="115"/>
      <c r="AA40" s="115"/>
      <c r="AB40" s="115"/>
      <c r="AC40" s="115"/>
      <c r="AD40" s="115"/>
      <c r="AE40" s="115"/>
      <c r="AG40" s="99">
        <v>21</v>
      </c>
      <c r="AH40" s="113" t="s">
        <v>3789</v>
      </c>
      <c r="AI40" s="113">
        <v>7500000</v>
      </c>
      <c r="AJ40" s="99">
        <v>4</v>
      </c>
      <c r="AK40" s="99">
        <f t="shared" si="6"/>
        <v>152</v>
      </c>
      <c r="AL40" s="113">
        <f t="shared" si="7"/>
        <v>1140000000</v>
      </c>
      <c r="AM40" s="99"/>
      <c r="AO40" s="96"/>
      <c r="AP40" s="96"/>
      <c r="AQ40" s="96"/>
      <c r="AR40" s="96"/>
      <c r="AU40" s="96"/>
      <c r="AV40" s="96"/>
      <c r="AW40" s="96"/>
      <c r="AX40" s="96"/>
      <c r="AY40" s="96"/>
      <c r="AZ40" s="96"/>
      <c r="BA40" s="96"/>
    </row>
    <row r="41" spans="1:53">
      <c r="A41" s="62">
        <v>99</v>
      </c>
      <c r="B41" s="11">
        <v>39</v>
      </c>
      <c r="C41" s="44">
        <f t="shared" si="10"/>
        <v>4727685.5496310312</v>
      </c>
      <c r="D41" s="3">
        <f t="shared" si="11"/>
        <v>3840434.9738783604</v>
      </c>
      <c r="E41" s="3">
        <f t="shared" si="9"/>
        <v>408835775.91539168</v>
      </c>
      <c r="F41" s="3"/>
      <c r="G41" s="11"/>
      <c r="H41" s="11"/>
      <c r="K41" s="56"/>
      <c r="L41" s="117"/>
      <c r="M41" s="169" t="s">
        <v>4290</v>
      </c>
      <c r="N41" s="113">
        <f t="shared" si="12"/>
        <v>129735</v>
      </c>
      <c r="O41" s="185">
        <v>155</v>
      </c>
      <c r="P41" s="99">
        <v>837</v>
      </c>
      <c r="Q41" s="170">
        <v>11344820</v>
      </c>
      <c r="R41" s="169" t="s">
        <v>4330</v>
      </c>
      <c r="S41" s="169">
        <f>S40-6</f>
        <v>22</v>
      </c>
      <c r="T41" s="169" t="s">
        <v>4335</v>
      </c>
      <c r="U41" s="169">
        <v>139.5</v>
      </c>
      <c r="V41" s="99">
        <f t="shared" si="13"/>
        <v>143.41670136986303</v>
      </c>
      <c r="W41"/>
      <c r="X41" s="115"/>
      <c r="Y41" s="115"/>
      <c r="Z41" s="115"/>
      <c r="AA41" s="115"/>
      <c r="AB41" s="115" t="s">
        <v>25</v>
      </c>
      <c r="AC41" s="115"/>
      <c r="AD41" s="115"/>
      <c r="AE41" s="115"/>
      <c r="AG41" s="99">
        <v>22</v>
      </c>
      <c r="AH41" s="113" t="s">
        <v>4062</v>
      </c>
      <c r="AI41" s="113">
        <v>-98000</v>
      </c>
      <c r="AJ41" s="99">
        <v>1</v>
      </c>
      <c r="AK41" s="99">
        <f t="shared" si="6"/>
        <v>148</v>
      </c>
      <c r="AL41" s="113">
        <f t="shared" si="7"/>
        <v>-14504000</v>
      </c>
      <c r="AM41" s="99"/>
      <c r="AO41" s="96"/>
      <c r="AP41" s="96"/>
      <c r="AQ41" s="96"/>
      <c r="AR41" s="96"/>
      <c r="AU41" s="96"/>
      <c r="AV41" s="96"/>
      <c r="AW41" s="96"/>
      <c r="AX41" s="96"/>
      <c r="AY41" s="96"/>
      <c r="AZ41" s="96"/>
      <c r="BA41" s="96"/>
    </row>
    <row r="42" spans="1:53">
      <c r="A42" s="62">
        <v>99</v>
      </c>
      <c r="B42" s="11">
        <v>40</v>
      </c>
      <c r="C42" s="49">
        <f t="shared" si="10"/>
        <v>4774962.4051273419</v>
      </c>
      <c r="D42" s="3">
        <f t="shared" si="11"/>
        <v>3878839.323617144</v>
      </c>
      <c r="E42" s="3">
        <f t="shared" si="9"/>
        <v>417908614.51520973</v>
      </c>
      <c r="F42" s="3"/>
      <c r="G42" s="11"/>
      <c r="H42" s="11"/>
      <c r="K42" s="56"/>
      <c r="L42" s="117"/>
      <c r="M42" s="169" t="s">
        <v>965</v>
      </c>
      <c r="N42" s="113">
        <f t="shared" si="12"/>
        <v>0</v>
      </c>
      <c r="O42" s="69">
        <v>0</v>
      </c>
      <c r="P42" s="69">
        <v>80731</v>
      </c>
      <c r="Q42" s="170">
        <v>9560464</v>
      </c>
      <c r="R42" s="169" t="s">
        <v>4341</v>
      </c>
      <c r="S42" s="169">
        <f>S41-1</f>
        <v>21</v>
      </c>
      <c r="T42" s="169" t="s">
        <v>4360</v>
      </c>
      <c r="U42" s="169">
        <v>214.57</v>
      </c>
      <c r="V42" s="99">
        <f t="shared" si="13"/>
        <v>220.42981852054794</v>
      </c>
      <c r="W42"/>
      <c r="AC42" t="s">
        <v>25</v>
      </c>
      <c r="AD42" t="s">
        <v>25</v>
      </c>
      <c r="AE42" s="115"/>
      <c r="AG42" s="99">
        <v>23</v>
      </c>
      <c r="AH42" s="113" t="s">
        <v>4056</v>
      </c>
      <c r="AI42" s="113">
        <v>-26000000</v>
      </c>
      <c r="AJ42" s="99">
        <v>0</v>
      </c>
      <c r="AK42" s="99">
        <f t="shared" si="6"/>
        <v>147</v>
      </c>
      <c r="AL42" s="113">
        <f t="shared" si="7"/>
        <v>-3822000000</v>
      </c>
      <c r="AM42" s="99"/>
      <c r="AO42" s="96"/>
      <c r="AP42" s="96"/>
      <c r="AQ42" s="96"/>
      <c r="AR42" s="96"/>
      <c r="AU42" s="96"/>
      <c r="AV42" s="96"/>
      <c r="AW42" s="96"/>
      <c r="AX42" s="96"/>
      <c r="AY42" s="96"/>
      <c r="AZ42" s="96"/>
      <c r="BA42" s="96"/>
    </row>
    <row r="43" spans="1:53">
      <c r="A43" s="62">
        <v>99</v>
      </c>
      <c r="B43" s="11">
        <v>41</v>
      </c>
      <c r="C43" s="49">
        <f t="shared" si="10"/>
        <v>4822712.0291786157</v>
      </c>
      <c r="D43" s="3">
        <f t="shared" si="11"/>
        <v>3917627.7168533155</v>
      </c>
      <c r="E43" s="3">
        <f t="shared" si="9"/>
        <v>427171871.11783922</v>
      </c>
      <c r="F43" s="3"/>
      <c r="G43" s="11"/>
      <c r="H43" s="11"/>
      <c r="K43" s="99"/>
      <c r="L43" s="99"/>
      <c r="M43" s="169" t="s">
        <v>4338</v>
      </c>
      <c r="N43" s="113">
        <f t="shared" si="12"/>
        <v>4292265</v>
      </c>
      <c r="O43" s="69">
        <v>14073</v>
      </c>
      <c r="P43" s="69">
        <v>305</v>
      </c>
      <c r="Q43" s="170">
        <v>903875</v>
      </c>
      <c r="R43" s="169" t="s">
        <v>4354</v>
      </c>
      <c r="S43" s="169">
        <f>S42-5</f>
        <v>16</v>
      </c>
      <c r="T43" s="169" t="s">
        <v>4444</v>
      </c>
      <c r="U43" s="169">
        <v>141.69999999999999</v>
      </c>
      <c r="V43" s="99">
        <f t="shared" si="13"/>
        <v>145.0262619178082</v>
      </c>
      <c r="W43"/>
      <c r="AA43" s="96"/>
      <c r="AG43" s="99">
        <v>24</v>
      </c>
      <c r="AH43" s="113" t="s">
        <v>4056</v>
      </c>
      <c r="AI43" s="113">
        <v>25000000</v>
      </c>
      <c r="AJ43" s="99">
        <v>1</v>
      </c>
      <c r="AK43" s="99">
        <f t="shared" si="6"/>
        <v>147</v>
      </c>
      <c r="AL43" s="113">
        <f t="shared" si="7"/>
        <v>3675000000</v>
      </c>
      <c r="AM43" s="99"/>
      <c r="AO43" s="96"/>
      <c r="AP43" s="96"/>
      <c r="AQ43" s="96"/>
      <c r="AR43" s="96"/>
      <c r="AU43" s="96"/>
      <c r="AV43" s="96"/>
      <c r="AW43" s="96"/>
      <c r="AX43" s="96"/>
      <c r="AY43" s="96"/>
      <c r="AZ43" s="96"/>
      <c r="BA43" s="96"/>
    </row>
    <row r="44" spans="1:53">
      <c r="A44" s="62">
        <v>99</v>
      </c>
      <c r="B44" s="11">
        <v>42</v>
      </c>
      <c r="C44" s="49">
        <f t="shared" si="10"/>
        <v>4870939.1494704019</v>
      </c>
      <c r="D44" s="3">
        <f t="shared" si="11"/>
        <v>3956803.9940218488</v>
      </c>
      <c r="E44" s="3">
        <f t="shared" si="9"/>
        <v>436629443.69564456</v>
      </c>
      <c r="F44" s="3"/>
      <c r="G44" s="11"/>
      <c r="H44" s="11"/>
      <c r="K44" s="99"/>
      <c r="L44" s="99"/>
      <c r="M44" s="169" t="s">
        <v>4459</v>
      </c>
      <c r="N44" s="113">
        <f t="shared" si="12"/>
        <v>0</v>
      </c>
      <c r="O44" s="69">
        <v>0</v>
      </c>
      <c r="P44" s="69">
        <v>5821.8</v>
      </c>
      <c r="Q44" s="170">
        <v>2000000</v>
      </c>
      <c r="R44" s="169" t="s">
        <v>4394</v>
      </c>
      <c r="S44" s="169">
        <f>S43-6</f>
        <v>10</v>
      </c>
      <c r="T44" s="169" t="s">
        <v>4398</v>
      </c>
      <c r="U44" s="169">
        <v>206.8</v>
      </c>
      <c r="V44" s="99">
        <f t="shared" si="13"/>
        <v>210.70257095890415</v>
      </c>
      <c r="W44"/>
      <c r="AA44" s="96"/>
      <c r="AG44" s="99">
        <v>25</v>
      </c>
      <c r="AH44" s="113" t="s">
        <v>4057</v>
      </c>
      <c r="AI44" s="113">
        <v>110000</v>
      </c>
      <c r="AJ44" s="99">
        <v>1</v>
      </c>
      <c r="AK44" s="99">
        <f t="shared" si="6"/>
        <v>146</v>
      </c>
      <c r="AL44" s="113">
        <f t="shared" si="7"/>
        <v>16060000</v>
      </c>
      <c r="AM44" s="99"/>
      <c r="AP44" s="96"/>
      <c r="AQ44" s="96"/>
      <c r="AR44" s="96"/>
    </row>
    <row r="45" spans="1:53">
      <c r="A45" s="62">
        <v>99</v>
      </c>
      <c r="B45" s="11">
        <v>43</v>
      </c>
      <c r="C45" s="50">
        <f t="shared" si="10"/>
        <v>4919648.5409651063</v>
      </c>
      <c r="D45" s="3">
        <f t="shared" si="11"/>
        <v>3996372.0339620672</v>
      </c>
      <c r="E45" s="3">
        <f t="shared" si="9"/>
        <v>446285309.07656044</v>
      </c>
      <c r="F45" s="3"/>
      <c r="G45" s="11"/>
      <c r="H45" s="11"/>
      <c r="K45" s="99"/>
      <c r="L45" s="99"/>
      <c r="M45" s="169" t="s">
        <v>4334</v>
      </c>
      <c r="N45" s="117">
        <f t="shared" si="12"/>
        <v>12253571.199999999</v>
      </c>
      <c r="O45" s="69">
        <v>87152</v>
      </c>
      <c r="P45" s="69">
        <v>140.6</v>
      </c>
      <c r="Q45" s="170">
        <v>107586</v>
      </c>
      <c r="R45" s="169" t="s">
        <v>4401</v>
      </c>
      <c r="S45" s="169">
        <f>S44-2</f>
        <v>8</v>
      </c>
      <c r="T45" s="169" t="s">
        <v>4416</v>
      </c>
      <c r="U45" s="169">
        <v>850</v>
      </c>
      <c r="V45" s="99">
        <f t="shared" si="13"/>
        <v>864.7364383561644</v>
      </c>
      <c r="AA45" s="96"/>
      <c r="AG45" s="99">
        <v>26</v>
      </c>
      <c r="AH45" s="113" t="s">
        <v>3804</v>
      </c>
      <c r="AI45" s="113">
        <v>380000</v>
      </c>
      <c r="AJ45" s="99">
        <v>7</v>
      </c>
      <c r="AK45" s="99">
        <f t="shared" si="6"/>
        <v>145</v>
      </c>
      <c r="AL45" s="113">
        <f t="shared" si="7"/>
        <v>55100000</v>
      </c>
      <c r="AM45" s="99"/>
      <c r="AP45" s="96"/>
      <c r="AQ45" s="96"/>
      <c r="AR45" s="96"/>
    </row>
    <row r="46" spans="1:53">
      <c r="A46" s="62">
        <v>99</v>
      </c>
      <c r="B46" s="11">
        <v>44</v>
      </c>
      <c r="C46" s="50">
        <f t="shared" si="10"/>
        <v>4968845.0263747573</v>
      </c>
      <c r="D46" s="3">
        <f t="shared" si="11"/>
        <v>4036335.7543016877</v>
      </c>
      <c r="E46" s="3">
        <f t="shared" si="9"/>
        <v>456143524.53016472</v>
      </c>
      <c r="F46" s="3"/>
      <c r="G46" s="11"/>
      <c r="H46" s="11"/>
      <c r="K46" s="99"/>
      <c r="L46" s="99"/>
      <c r="M46" s="73"/>
      <c r="N46" s="117"/>
      <c r="O46" s="96" t="s">
        <v>25</v>
      </c>
      <c r="Q46" s="170">
        <v>1457531</v>
      </c>
      <c r="R46" s="169" t="s">
        <v>4434</v>
      </c>
      <c r="S46" s="169">
        <f>S45-4</f>
        <v>4</v>
      </c>
      <c r="T46" s="169" t="s">
        <v>4435</v>
      </c>
      <c r="U46" s="169">
        <v>310</v>
      </c>
      <c r="V46" s="99">
        <f t="shared" si="13"/>
        <v>314.4232328767124</v>
      </c>
      <c r="AG46" s="99">
        <v>27</v>
      </c>
      <c r="AH46" s="113" t="s">
        <v>3890</v>
      </c>
      <c r="AI46" s="113">
        <v>450000</v>
      </c>
      <c r="AJ46" s="99">
        <v>6</v>
      </c>
      <c r="AK46" s="99">
        <f t="shared" si="6"/>
        <v>138</v>
      </c>
      <c r="AL46" s="113">
        <f t="shared" si="7"/>
        <v>62100000</v>
      </c>
      <c r="AM46" s="99"/>
    </row>
    <row r="47" spans="1:53">
      <c r="A47" s="62">
        <v>99</v>
      </c>
      <c r="B47" s="11">
        <v>45</v>
      </c>
      <c r="C47" s="50">
        <f t="shared" si="10"/>
        <v>5018533.4766385052</v>
      </c>
      <c r="D47" s="3">
        <f t="shared" si="11"/>
        <v>4076699.1118447045</v>
      </c>
      <c r="E47" s="3">
        <f t="shared" si="9"/>
        <v>466208229.38556182</v>
      </c>
      <c r="F47" s="3"/>
      <c r="G47" s="11"/>
      <c r="H47" s="11"/>
      <c r="K47" s="99"/>
      <c r="L47" s="99"/>
      <c r="M47" s="169" t="s">
        <v>1155</v>
      </c>
      <c r="N47" s="117">
        <v>14908</v>
      </c>
      <c r="O47" s="96" t="s">
        <v>25</v>
      </c>
      <c r="P47" t="s">
        <v>25</v>
      </c>
      <c r="Q47" s="170">
        <v>1429825</v>
      </c>
      <c r="R47" s="169" t="s">
        <v>4429</v>
      </c>
      <c r="S47" s="169">
        <f>S46-1</f>
        <v>3</v>
      </c>
      <c r="T47" s="169" t="s">
        <v>4440</v>
      </c>
      <c r="U47" s="169">
        <v>203.9</v>
      </c>
      <c r="V47" s="99">
        <f t="shared" si="13"/>
        <v>206.65292931506852</v>
      </c>
      <c r="AG47" s="99">
        <v>28</v>
      </c>
      <c r="AH47" s="113" t="s">
        <v>3915</v>
      </c>
      <c r="AI47" s="113">
        <v>2800000</v>
      </c>
      <c r="AJ47" s="99">
        <v>1</v>
      </c>
      <c r="AK47" s="99">
        <f t="shared" si="6"/>
        <v>132</v>
      </c>
      <c r="AL47" s="113">
        <f t="shared" si="7"/>
        <v>369600000</v>
      </c>
      <c r="AM47" s="99"/>
    </row>
    <row r="48" spans="1:53">
      <c r="A48" s="64">
        <v>99</v>
      </c>
      <c r="B48" s="64">
        <v>46</v>
      </c>
      <c r="C48" s="65">
        <f t="shared" si="10"/>
        <v>5068718.8114048904</v>
      </c>
      <c r="D48" s="65">
        <f t="shared" si="11"/>
        <v>4117466.1029631514</v>
      </c>
      <c r="E48" s="65">
        <f t="shared" si="9"/>
        <v>476483646.68171477</v>
      </c>
      <c r="F48" s="3"/>
      <c r="G48" s="11"/>
      <c r="H48" s="11" t="s">
        <v>611</v>
      </c>
      <c r="K48" s="99"/>
      <c r="L48" s="99"/>
      <c r="M48" s="169" t="s">
        <v>1156</v>
      </c>
      <c r="N48" s="117">
        <v>5282</v>
      </c>
      <c r="O48" s="96"/>
      <c r="Q48" s="170">
        <v>1420747</v>
      </c>
      <c r="R48" s="169" t="s">
        <v>4429</v>
      </c>
      <c r="S48" s="169">
        <f>S47</f>
        <v>3</v>
      </c>
      <c r="T48" s="169" t="s">
        <v>4442</v>
      </c>
      <c r="U48" s="169">
        <v>203.1</v>
      </c>
      <c r="V48" s="99">
        <f t="shared" si="13"/>
        <v>205.84212821917808</v>
      </c>
      <c r="AG48" s="99">
        <v>29</v>
      </c>
      <c r="AH48" s="113" t="s">
        <v>3916</v>
      </c>
      <c r="AI48" s="113">
        <v>-1500000</v>
      </c>
      <c r="AJ48" s="99">
        <v>0</v>
      </c>
      <c r="AK48" s="99">
        <f t="shared" si="6"/>
        <v>131</v>
      </c>
      <c r="AL48" s="113">
        <f t="shared" si="7"/>
        <v>-196500000</v>
      </c>
      <c r="AM48" s="99"/>
    </row>
    <row r="49" spans="1:39">
      <c r="A49" s="62">
        <v>99</v>
      </c>
      <c r="B49" s="11">
        <v>47</v>
      </c>
      <c r="C49" s="3">
        <f t="shared" si="10"/>
        <v>5119405.9995189393</v>
      </c>
      <c r="D49" s="3">
        <f t="shared" si="11"/>
        <v>4158640.7639927831</v>
      </c>
      <c r="E49" s="3">
        <f t="shared" si="9"/>
        <v>486974084.8508752</v>
      </c>
      <c r="F49" s="3"/>
      <c r="G49" s="11"/>
      <c r="H49" s="11"/>
      <c r="K49" s="169"/>
      <c r="L49" s="117"/>
      <c r="M49" s="169"/>
      <c r="N49" s="113"/>
      <c r="O49" s="115"/>
      <c r="P49" s="115"/>
      <c r="Q49" s="170">
        <v>2864946</v>
      </c>
      <c r="R49" s="169" t="s">
        <v>4429</v>
      </c>
      <c r="S49" s="169">
        <f>S48</f>
        <v>3</v>
      </c>
      <c r="T49" s="169" t="s">
        <v>4445</v>
      </c>
      <c r="U49" s="169">
        <v>303.60000000000002</v>
      </c>
      <c r="V49" s="99">
        <f t="shared" si="13"/>
        <v>307.69901589041098</v>
      </c>
      <c r="AG49" s="99">
        <v>30</v>
      </c>
      <c r="AH49" s="113" t="s">
        <v>3916</v>
      </c>
      <c r="AI49" s="113">
        <v>3050000</v>
      </c>
      <c r="AJ49" s="99">
        <v>3</v>
      </c>
      <c r="AK49" s="99">
        <f>AK50+AJ49</f>
        <v>131</v>
      </c>
      <c r="AL49" s="113">
        <f t="shared" si="7"/>
        <v>399550000</v>
      </c>
      <c r="AM49" s="99"/>
    </row>
    <row r="50" spans="1:39">
      <c r="A50" s="62">
        <v>99</v>
      </c>
      <c r="B50" s="11">
        <v>48</v>
      </c>
      <c r="C50" s="51">
        <f t="shared" si="10"/>
        <v>5170600.0595141286</v>
      </c>
      <c r="D50" s="51">
        <f t="shared" si="11"/>
        <v>4200227.1716327108</v>
      </c>
      <c r="E50" s="52">
        <f t="shared" si="9"/>
        <v>497683939.43577409</v>
      </c>
      <c r="F50" s="51"/>
      <c r="G50" s="11"/>
      <c r="H50" s="11"/>
      <c r="K50" s="169" t="s">
        <v>25</v>
      </c>
      <c r="L50" s="117"/>
      <c r="M50" s="169" t="s">
        <v>4189</v>
      </c>
      <c r="N50" s="113">
        <f>-O50*P50</f>
        <v>-16819473.599999998</v>
      </c>
      <c r="O50" s="99">
        <v>82773</v>
      </c>
      <c r="P50" s="99">
        <f>P38</f>
        <v>203.2</v>
      </c>
      <c r="Q50" s="170">
        <v>2412371</v>
      </c>
      <c r="R50" s="169" t="s">
        <v>4432</v>
      </c>
      <c r="S50" s="169">
        <f>S49-1</f>
        <v>2</v>
      </c>
      <c r="T50" s="169" t="s">
        <v>4451</v>
      </c>
      <c r="U50" s="169">
        <v>3930</v>
      </c>
      <c r="V50" s="99">
        <f t="shared" si="13"/>
        <v>3980.0455890410963</v>
      </c>
      <c r="AG50" s="99">
        <v>31</v>
      </c>
      <c r="AH50" s="113" t="s">
        <v>3941</v>
      </c>
      <c r="AI50" s="113">
        <v>-8299612</v>
      </c>
      <c r="AJ50" s="99">
        <v>2</v>
      </c>
      <c r="AK50" s="99">
        <f t="shared" si="6"/>
        <v>128</v>
      </c>
      <c r="AL50" s="113">
        <f t="shared" si="7"/>
        <v>-1062350336</v>
      </c>
      <c r="AM50" s="99"/>
    </row>
    <row r="51" spans="1:39">
      <c r="A51" s="63">
        <v>1400</v>
      </c>
      <c r="B51" s="11">
        <v>49</v>
      </c>
      <c r="C51" s="44">
        <f t="shared" si="10"/>
        <v>5222306.0601092698</v>
      </c>
      <c r="D51" s="3">
        <f t="shared" si="11"/>
        <v>4242229.4433490383</v>
      </c>
      <c r="E51" s="3">
        <f t="shared" si="9"/>
        <v>508617694.84124976</v>
      </c>
      <c r="F51" s="3"/>
      <c r="G51" s="11"/>
      <c r="H51" s="11"/>
      <c r="K51" s="169"/>
      <c r="L51" s="117"/>
      <c r="M51" s="169"/>
      <c r="N51" s="113"/>
      <c r="O51" s="96"/>
      <c r="P51" s="96"/>
      <c r="Q51" s="170">
        <v>2010885</v>
      </c>
      <c r="R51" s="169" t="s">
        <v>4457</v>
      </c>
      <c r="S51" s="169">
        <f>S50-2</f>
        <v>0</v>
      </c>
      <c r="T51" s="169" t="s">
        <v>4463</v>
      </c>
      <c r="U51" s="169">
        <v>202.1</v>
      </c>
      <c r="V51" s="99">
        <f t="shared" si="13"/>
        <v>204.36352000000002</v>
      </c>
      <c r="AG51" s="99">
        <v>32</v>
      </c>
      <c r="AH51" s="113" t="s">
        <v>3935</v>
      </c>
      <c r="AI51" s="113">
        <v>5000000</v>
      </c>
      <c r="AJ51" s="99">
        <v>14</v>
      </c>
      <c r="AK51" s="99">
        <f t="shared" si="6"/>
        <v>126</v>
      </c>
      <c r="AL51" s="113">
        <f t="shared" si="7"/>
        <v>630000000</v>
      </c>
      <c r="AM51" s="99"/>
    </row>
    <row r="52" spans="1:39">
      <c r="A52" s="63">
        <v>1400</v>
      </c>
      <c r="B52" s="11">
        <v>50</v>
      </c>
      <c r="C52" s="44">
        <f t="shared" si="10"/>
        <v>5274529.1207103627</v>
      </c>
      <c r="D52" s="3">
        <f t="shared" si="11"/>
        <v>4284651.7377825286</v>
      </c>
      <c r="E52" s="3">
        <f t="shared" si="9"/>
        <v>519779926.12100261</v>
      </c>
      <c r="F52" s="3"/>
      <c r="G52" s="11"/>
      <c r="H52" s="11"/>
      <c r="K52" s="169" t="s">
        <v>598</v>
      </c>
      <c r="L52" s="113">
        <f>SUM(L16:L43)</f>
        <v>280870268</v>
      </c>
      <c r="M52" s="169"/>
      <c r="N52" s="113">
        <f>SUM(N16:N51)</f>
        <v>387835481.69999993</v>
      </c>
      <c r="O52" t="s">
        <v>25</v>
      </c>
      <c r="Q52" s="170"/>
      <c r="R52" s="169"/>
      <c r="S52" s="169"/>
      <c r="T52" s="169"/>
      <c r="U52" s="169"/>
      <c r="V52" s="99"/>
      <c r="AG52" s="99">
        <v>33</v>
      </c>
      <c r="AH52" s="113" t="s">
        <v>991</v>
      </c>
      <c r="AI52" s="113">
        <v>-90000</v>
      </c>
      <c r="AJ52" s="99">
        <v>1</v>
      </c>
      <c r="AK52" s="99">
        <f t="shared" si="6"/>
        <v>112</v>
      </c>
      <c r="AL52" s="113">
        <f t="shared" si="7"/>
        <v>-10080000</v>
      </c>
      <c r="AM52" s="99"/>
    </row>
    <row r="53" spans="1:39">
      <c r="A53" s="63">
        <v>1400</v>
      </c>
      <c r="B53" s="11">
        <v>51</v>
      </c>
      <c r="C53" s="44">
        <f t="shared" si="10"/>
        <v>5327274.4119174667</v>
      </c>
      <c r="D53" s="3">
        <f t="shared" si="11"/>
        <v>4327498.2551603541</v>
      </c>
      <c r="E53" s="3">
        <f t="shared" si="9"/>
        <v>531175300.80017978</v>
      </c>
      <c r="F53" s="3"/>
      <c r="G53" s="11"/>
      <c r="H53" s="11"/>
      <c r="K53" s="169" t="s">
        <v>599</v>
      </c>
      <c r="L53" s="113">
        <f>L16+L17+L22</f>
        <v>229202</v>
      </c>
      <c r="M53" s="169"/>
      <c r="N53" s="113">
        <f>N16+N17+N28</f>
        <v>-7447714</v>
      </c>
      <c r="Q53" s="113">
        <f>SUM(N37:N45)-SUM(Q38:Q52)</f>
        <v>10072176.699999958</v>
      </c>
      <c r="R53" s="112"/>
      <c r="S53" s="112"/>
      <c r="T53" s="112"/>
      <c r="U53" s="169"/>
      <c r="V53" s="99" t="s">
        <v>25</v>
      </c>
      <c r="X53" s="99" t="s">
        <v>4253</v>
      </c>
      <c r="Y53" s="99">
        <v>218</v>
      </c>
      <c r="Z53" s="99">
        <v>10000</v>
      </c>
      <c r="AA53" s="99" t="s">
        <v>61</v>
      </c>
      <c r="AB53" s="99">
        <v>224.5</v>
      </c>
      <c r="AC53" s="99" t="s">
        <v>4342</v>
      </c>
      <c r="AG53" s="99">
        <v>34</v>
      </c>
      <c r="AH53" s="113" t="s">
        <v>4058</v>
      </c>
      <c r="AI53" s="113">
        <v>5600000</v>
      </c>
      <c r="AJ53" s="99">
        <v>4</v>
      </c>
      <c r="AK53" s="99">
        <f t="shared" si="6"/>
        <v>111</v>
      </c>
      <c r="AL53" s="113">
        <f t="shared" si="7"/>
        <v>621600000</v>
      </c>
      <c r="AM53" s="99"/>
    </row>
    <row r="54" spans="1:39">
      <c r="A54" s="63">
        <v>1400</v>
      </c>
      <c r="B54" s="11">
        <v>52</v>
      </c>
      <c r="C54" s="49">
        <f t="shared" si="10"/>
        <v>5380547.1560366414</v>
      </c>
      <c r="D54" s="3">
        <f t="shared" si="11"/>
        <v>4370773.2377119577</v>
      </c>
      <c r="E54" s="3">
        <f t="shared" si="9"/>
        <v>542808580.73450804</v>
      </c>
      <c r="F54" s="3"/>
      <c r="G54" s="11"/>
      <c r="H54" s="11"/>
      <c r="K54" s="56" t="s">
        <v>716</v>
      </c>
      <c r="L54" s="1">
        <f>L52+N7</f>
        <v>350870268</v>
      </c>
      <c r="M54" s="113"/>
      <c r="N54" s="169"/>
      <c r="O54" s="22"/>
      <c r="Q54" s="26"/>
      <c r="R54" s="186"/>
      <c r="S54" s="186"/>
      <c r="T54" t="s">
        <v>25</v>
      </c>
      <c r="V54" s="96"/>
      <c r="X54" s="99" t="s">
        <v>4253</v>
      </c>
      <c r="Y54" s="99">
        <v>216.1</v>
      </c>
      <c r="Z54" s="99">
        <v>10000</v>
      </c>
      <c r="AA54" s="99" t="s">
        <v>61</v>
      </c>
      <c r="AB54" s="99">
        <v>222.5</v>
      </c>
      <c r="AC54" s="99" t="s">
        <v>4342</v>
      </c>
      <c r="AG54" s="99">
        <v>35</v>
      </c>
      <c r="AH54" s="113" t="s">
        <v>3986</v>
      </c>
      <c r="AI54" s="113">
        <v>750000</v>
      </c>
      <c r="AJ54" s="99">
        <v>2</v>
      </c>
      <c r="AK54" s="99">
        <f t="shared" si="6"/>
        <v>107</v>
      </c>
      <c r="AL54" s="113">
        <f t="shared" si="7"/>
        <v>80250000</v>
      </c>
      <c r="AM54" s="99"/>
    </row>
    <row r="55" spans="1:39">
      <c r="A55" s="63">
        <v>1400</v>
      </c>
      <c r="B55" s="11">
        <v>53</v>
      </c>
      <c r="C55" s="49">
        <f t="shared" si="10"/>
        <v>5434352.6275970079</v>
      </c>
      <c r="D55" s="3">
        <f t="shared" si="11"/>
        <v>4414480.970089077</v>
      </c>
      <c r="E55" s="3">
        <f t="shared" si="9"/>
        <v>554684624.00670612</v>
      </c>
      <c r="F55" s="3"/>
      <c r="G55" s="11"/>
      <c r="H55" s="11"/>
      <c r="M55" t="s">
        <v>4314</v>
      </c>
      <c r="R55" t="s">
        <v>25</v>
      </c>
      <c r="T55" t="s">
        <v>25</v>
      </c>
      <c r="U55" s="96" t="s">
        <v>25</v>
      </c>
      <c r="V55" s="96"/>
      <c r="X55" s="99" t="s">
        <v>4253</v>
      </c>
      <c r="Y55" s="99">
        <v>215</v>
      </c>
      <c r="Z55" s="99">
        <v>24349</v>
      </c>
      <c r="AA55" s="99" t="s">
        <v>1020</v>
      </c>
      <c r="AB55" s="99">
        <v>221.5</v>
      </c>
      <c r="AC55" s="99" t="s">
        <v>4342</v>
      </c>
      <c r="AG55" s="172">
        <v>36</v>
      </c>
      <c r="AH55" s="171" t="s">
        <v>3996</v>
      </c>
      <c r="AI55" s="171">
        <v>-4242000</v>
      </c>
      <c r="AJ55" s="172">
        <v>2</v>
      </c>
      <c r="AK55" s="172">
        <f t="shared" si="6"/>
        <v>105</v>
      </c>
      <c r="AL55" s="171">
        <f t="shared" si="7"/>
        <v>-445410000</v>
      </c>
      <c r="AM55" s="172" t="s">
        <v>4067</v>
      </c>
    </row>
    <row r="56" spans="1:39">
      <c r="A56" s="63">
        <v>1400</v>
      </c>
      <c r="B56" s="11">
        <v>54</v>
      </c>
      <c r="C56" s="49">
        <f t="shared" si="10"/>
        <v>5488696.1538729779</v>
      </c>
      <c r="D56" s="3">
        <f t="shared" si="11"/>
        <v>4458625.7797899675</v>
      </c>
      <c r="E56" s="3">
        <f t="shared" si="9"/>
        <v>566808386.86092329</v>
      </c>
      <c r="F56" s="3"/>
      <c r="G56" s="11"/>
      <c r="H56" s="11"/>
      <c r="M56" s="25" t="s">
        <v>4117</v>
      </c>
      <c r="O56" t="s">
        <v>25</v>
      </c>
      <c r="Q56" t="s">
        <v>25</v>
      </c>
      <c r="R56" t="s">
        <v>25</v>
      </c>
      <c r="T56" t="s">
        <v>25</v>
      </c>
      <c r="X56" s="99" t="s">
        <v>4253</v>
      </c>
      <c r="Y56" s="99">
        <v>207</v>
      </c>
      <c r="Z56" s="99">
        <v>9625</v>
      </c>
      <c r="AA56" s="99" t="s">
        <v>61</v>
      </c>
      <c r="AB56" s="99">
        <v>215</v>
      </c>
      <c r="AC56" s="99" t="s">
        <v>4342</v>
      </c>
      <c r="AG56" s="99">
        <v>37</v>
      </c>
      <c r="AH56" s="113" t="s">
        <v>3996</v>
      </c>
      <c r="AI56" s="113">
        <v>4100000</v>
      </c>
      <c r="AJ56" s="99">
        <v>0</v>
      </c>
      <c r="AK56" s="99">
        <f t="shared" si="6"/>
        <v>103</v>
      </c>
      <c r="AL56" s="113">
        <f t="shared" si="7"/>
        <v>422300000</v>
      </c>
      <c r="AM56" s="99"/>
    </row>
    <row r="57" spans="1:39">
      <c r="A57" s="63">
        <v>1400</v>
      </c>
      <c r="B57" s="11">
        <v>55</v>
      </c>
      <c r="C57" s="50">
        <f t="shared" si="10"/>
        <v>5543583.1154117081</v>
      </c>
      <c r="D57" s="3">
        <f t="shared" si="11"/>
        <v>4503212.0375878671</v>
      </c>
      <c r="E57" s="3">
        <f t="shared" si="9"/>
        <v>579184925.67596567</v>
      </c>
      <c r="F57" s="3"/>
      <c r="G57" s="11"/>
      <c r="H57" s="11"/>
      <c r="M57" s="25" t="s">
        <v>4085</v>
      </c>
      <c r="Q57" t="s">
        <v>25</v>
      </c>
      <c r="S57" t="s">
        <v>25</v>
      </c>
      <c r="U57" s="96" t="s">
        <v>25</v>
      </c>
      <c r="X57" s="99" t="s">
        <v>4253</v>
      </c>
      <c r="Y57" s="99">
        <v>203.9</v>
      </c>
      <c r="Z57" s="99">
        <v>6980</v>
      </c>
      <c r="AA57" s="99" t="s">
        <v>1020</v>
      </c>
      <c r="AB57" s="99">
        <v>210.2</v>
      </c>
      <c r="AC57" s="99" t="s">
        <v>4342</v>
      </c>
      <c r="AG57" s="99">
        <v>38</v>
      </c>
      <c r="AH57" s="113" t="s">
        <v>4002</v>
      </c>
      <c r="AI57" s="113">
        <v>4100000</v>
      </c>
      <c r="AJ57" s="99">
        <v>1</v>
      </c>
      <c r="AK57" s="99">
        <f t="shared" si="6"/>
        <v>103</v>
      </c>
      <c r="AL57" s="113">
        <f t="shared" si="7"/>
        <v>422300000</v>
      </c>
      <c r="AM57" s="99"/>
    </row>
    <row r="58" spans="1:39" ht="30">
      <c r="A58" s="63">
        <v>1400</v>
      </c>
      <c r="B58" s="11">
        <v>56</v>
      </c>
      <c r="C58" s="50">
        <f t="shared" si="10"/>
        <v>5599018.9465658255</v>
      </c>
      <c r="D58" s="3">
        <f t="shared" si="11"/>
        <v>4548244.1579637462</v>
      </c>
      <c r="E58" s="3">
        <f t="shared" si="9"/>
        <v>591819398.97808707</v>
      </c>
      <c r="F58" s="3"/>
      <c r="G58" s="11"/>
      <c r="H58" s="11"/>
      <c r="M58" s="178" t="s">
        <v>4121</v>
      </c>
      <c r="Q58" s="96">
        <f>O38+O39+O19-O50</f>
        <v>1024263</v>
      </c>
      <c r="R58" s="113">
        <f>Q58*P38</f>
        <v>208130241.59999999</v>
      </c>
      <c r="S58" t="s">
        <v>25</v>
      </c>
      <c r="U58" s="96" t="s">
        <v>25</v>
      </c>
      <c r="V58" t="s">
        <v>25</v>
      </c>
      <c r="X58" s="99" t="s">
        <v>4253</v>
      </c>
      <c r="Y58" s="99">
        <v>203.1</v>
      </c>
      <c r="Z58" s="99">
        <v>6963</v>
      </c>
      <c r="AA58" s="99" t="s">
        <v>61</v>
      </c>
      <c r="AB58" s="99">
        <v>209.4</v>
      </c>
      <c r="AC58" s="99" t="s">
        <v>4342</v>
      </c>
      <c r="AG58" s="99">
        <v>39</v>
      </c>
      <c r="AH58" s="113" t="s">
        <v>4011</v>
      </c>
      <c r="AI58" s="113">
        <v>790000</v>
      </c>
      <c r="AJ58" s="99">
        <v>15</v>
      </c>
      <c r="AK58" s="99">
        <f t="shared" si="6"/>
        <v>102</v>
      </c>
      <c r="AL58" s="113">
        <f t="shared" si="7"/>
        <v>80580000</v>
      </c>
      <c r="AM58" s="99"/>
    </row>
    <row r="59" spans="1:39">
      <c r="A59" s="63">
        <v>1400</v>
      </c>
      <c r="B59" s="11">
        <v>57</v>
      </c>
      <c r="C59" s="50">
        <f t="shared" si="10"/>
        <v>5655009.1360314842</v>
      </c>
      <c r="D59" s="3">
        <f t="shared" si="11"/>
        <v>4593726.5995433833</v>
      </c>
      <c r="E59" s="3">
        <f t="shared" si="9"/>
        <v>604717069.49413705</v>
      </c>
      <c r="F59" s="3"/>
      <c r="G59" s="11"/>
      <c r="H59" s="11"/>
      <c r="K59" s="3"/>
      <c r="L59" s="11" t="s">
        <v>304</v>
      </c>
      <c r="M59" s="122"/>
      <c r="N59" s="96"/>
      <c r="P59" s="115"/>
      <c r="Q59" t="s">
        <v>4286</v>
      </c>
      <c r="R59" t="s">
        <v>4283</v>
      </c>
      <c r="U59" s="96" t="s">
        <v>25</v>
      </c>
      <c r="X59" s="99" t="s">
        <v>4253</v>
      </c>
      <c r="Y59" s="99">
        <v>202.1</v>
      </c>
      <c r="Z59" s="99">
        <v>9904</v>
      </c>
      <c r="AA59" s="99" t="s">
        <v>61</v>
      </c>
      <c r="AB59" s="99">
        <v>208.5</v>
      </c>
      <c r="AC59" s="99" t="s">
        <v>4342</v>
      </c>
      <c r="AG59" s="172">
        <v>40</v>
      </c>
      <c r="AH59" s="171" t="s">
        <v>4042</v>
      </c>
      <c r="AI59" s="171">
        <v>-3865000</v>
      </c>
      <c r="AJ59" s="172">
        <v>6</v>
      </c>
      <c r="AK59" s="172">
        <f t="shared" si="6"/>
        <v>87</v>
      </c>
      <c r="AL59" s="173">
        <f t="shared" si="7"/>
        <v>-336255000</v>
      </c>
      <c r="AM59" s="172" t="s">
        <v>4068</v>
      </c>
    </row>
    <row r="60" spans="1:39">
      <c r="A60" s="63">
        <v>1400</v>
      </c>
      <c r="B60" s="11">
        <v>58</v>
      </c>
      <c r="C60" s="3">
        <f t="shared" si="10"/>
        <v>5711559.227391799</v>
      </c>
      <c r="D60" s="3">
        <f t="shared" si="11"/>
        <v>4639663.8655388169</v>
      </c>
      <c r="E60" s="3">
        <f t="shared" si="9"/>
        <v>617883306.24587286</v>
      </c>
      <c r="F60" s="3"/>
      <c r="G60" s="11"/>
      <c r="H60" s="11"/>
      <c r="K60" s="1" t="s">
        <v>305</v>
      </c>
      <c r="L60" s="1">
        <v>70000</v>
      </c>
      <c r="M60" s="122" t="s">
        <v>4315</v>
      </c>
      <c r="N60" s="96" t="s">
        <v>25</v>
      </c>
      <c r="P60" s="115"/>
      <c r="R60" t="s">
        <v>25</v>
      </c>
      <c r="X60" s="99"/>
      <c r="Y60" s="99"/>
      <c r="Z60" s="99"/>
      <c r="AA60" s="99"/>
      <c r="AB60" s="99"/>
      <c r="AC60" s="99"/>
      <c r="AG60" s="20">
        <v>41</v>
      </c>
      <c r="AH60" s="117" t="s">
        <v>4072</v>
      </c>
      <c r="AI60" s="117">
        <v>18800000</v>
      </c>
      <c r="AJ60" s="20">
        <v>3</v>
      </c>
      <c r="AK60" s="99">
        <f t="shared" si="6"/>
        <v>81</v>
      </c>
      <c r="AL60" s="113">
        <f t="shared" si="7"/>
        <v>1522800000</v>
      </c>
      <c r="AM60" s="20"/>
    </row>
    <row r="61" spans="1:39">
      <c r="A61" s="63">
        <v>1400</v>
      </c>
      <c r="B61" s="11">
        <v>59</v>
      </c>
      <c r="C61" s="3">
        <f t="shared" si="10"/>
        <v>5768674.819665717</v>
      </c>
      <c r="D61" s="3">
        <f t="shared" si="11"/>
        <v>4686060.5041942047</v>
      </c>
      <c r="E61" s="3">
        <f t="shared" si="9"/>
        <v>631323586.68626177</v>
      </c>
      <c r="F61" s="3"/>
      <c r="G61" s="11"/>
      <c r="H61" s="11"/>
      <c r="K61" s="1" t="s">
        <v>321</v>
      </c>
      <c r="L61" s="1">
        <v>100000</v>
      </c>
      <c r="M61" s="122" t="s">
        <v>4316</v>
      </c>
      <c r="P61" s="115"/>
      <c r="X61" s="99"/>
      <c r="Y61" s="169"/>
      <c r="Z61" s="169"/>
      <c r="AA61" s="99"/>
      <c r="AB61" s="99"/>
      <c r="AC61" s="99"/>
      <c r="AG61" s="20">
        <v>42</v>
      </c>
      <c r="AH61" s="117" t="s">
        <v>4089</v>
      </c>
      <c r="AI61" s="117">
        <v>500000</v>
      </c>
      <c r="AJ61" s="20">
        <v>1</v>
      </c>
      <c r="AK61" s="99">
        <f t="shared" si="6"/>
        <v>78</v>
      </c>
      <c r="AL61" s="113">
        <f t="shared" si="7"/>
        <v>39000000</v>
      </c>
      <c r="AM61" s="20"/>
    </row>
    <row r="62" spans="1:39">
      <c r="A62" s="63">
        <v>1400</v>
      </c>
      <c r="B62" s="11">
        <v>60</v>
      </c>
      <c r="C62" s="3">
        <f t="shared" si="10"/>
        <v>5826361.5678623738</v>
      </c>
      <c r="D62" s="3">
        <f t="shared" si="11"/>
        <v>4732921.1092361463</v>
      </c>
      <c r="E62" s="46">
        <f t="shared" si="9"/>
        <v>645043498.87861323</v>
      </c>
      <c r="F62" s="3"/>
      <c r="G62" s="11"/>
      <c r="H62" s="11"/>
      <c r="K62" s="1" t="s">
        <v>306</v>
      </c>
      <c r="L62" s="1">
        <v>80000</v>
      </c>
      <c r="M62" s="122" t="s">
        <v>4317</v>
      </c>
      <c r="P62" s="115"/>
      <c r="Q62" t="s">
        <v>950</v>
      </c>
      <c r="R62">
        <v>6.3E-3</v>
      </c>
      <c r="T62" t="s">
        <v>25</v>
      </c>
      <c r="AG62" s="20">
        <v>43</v>
      </c>
      <c r="AH62" s="117" t="s">
        <v>4093</v>
      </c>
      <c r="AI62" s="117">
        <v>200000</v>
      </c>
      <c r="AJ62" s="20">
        <v>3</v>
      </c>
      <c r="AK62" s="99">
        <f>AK63+AJ62</f>
        <v>77</v>
      </c>
      <c r="AL62" s="113">
        <f t="shared" si="7"/>
        <v>15400000</v>
      </c>
      <c r="AM62" s="20"/>
    </row>
    <row r="63" spans="1:39">
      <c r="E63" s="26"/>
      <c r="K63" s="31" t="s">
        <v>307</v>
      </c>
      <c r="L63" s="1">
        <v>150000</v>
      </c>
      <c r="M63" s="122" t="s">
        <v>4318</v>
      </c>
      <c r="P63" s="115"/>
      <c r="Q63" t="s">
        <v>61</v>
      </c>
      <c r="R63">
        <v>4.8999999999999998E-3</v>
      </c>
      <c r="AG63" s="20">
        <v>44</v>
      </c>
      <c r="AH63" s="117" t="s">
        <v>4100</v>
      </c>
      <c r="AI63" s="117">
        <v>1000000</v>
      </c>
      <c r="AJ63" s="20">
        <v>3</v>
      </c>
      <c r="AK63" s="99">
        <f t="shared" si="6"/>
        <v>74</v>
      </c>
      <c r="AL63" s="113">
        <f t="shared" si="7"/>
        <v>74000000</v>
      </c>
      <c r="AM63" s="20"/>
    </row>
    <row r="64" spans="1:39">
      <c r="E64" s="26"/>
      <c r="K64" s="31" t="s">
        <v>308</v>
      </c>
      <c r="L64" s="1">
        <v>300000</v>
      </c>
      <c r="M64" s="191" t="s">
        <v>4319</v>
      </c>
      <c r="P64" s="115"/>
      <c r="Q64" t="s">
        <v>6</v>
      </c>
      <c r="R64">
        <f>R62+R63</f>
        <v>1.12E-2</v>
      </c>
      <c r="AG64" s="20">
        <v>45</v>
      </c>
      <c r="AH64" s="117" t="s">
        <v>4112</v>
      </c>
      <c r="AI64" s="117">
        <v>1300000</v>
      </c>
      <c r="AJ64" s="20">
        <v>0</v>
      </c>
      <c r="AK64" s="99">
        <f>AK65+AJ64</f>
        <v>71</v>
      </c>
      <c r="AL64" s="113">
        <f t="shared" si="7"/>
        <v>92300000</v>
      </c>
      <c r="AM64" s="20"/>
    </row>
    <row r="65" spans="1:39">
      <c r="K65" s="31" t="s">
        <v>309</v>
      </c>
      <c r="L65" s="1">
        <v>100000</v>
      </c>
      <c r="M65" s="192" t="s">
        <v>4322</v>
      </c>
      <c r="P65" s="115"/>
      <c r="AG65" s="20">
        <v>45</v>
      </c>
      <c r="AH65" s="117" t="s">
        <v>4112</v>
      </c>
      <c r="AI65" s="117">
        <v>995000</v>
      </c>
      <c r="AJ65" s="20">
        <v>2</v>
      </c>
      <c r="AK65" s="99">
        <f t="shared" ref="AK65:AK88" si="14">AK66+AJ65</f>
        <v>71</v>
      </c>
      <c r="AL65" s="113">
        <f t="shared" si="7"/>
        <v>70645000</v>
      </c>
      <c r="AM65" s="20"/>
    </row>
    <row r="66" spans="1:39">
      <c r="K66" s="31" t="s">
        <v>310</v>
      </c>
      <c r="L66" s="1">
        <v>200000</v>
      </c>
      <c r="M66" s="122" t="s">
        <v>4338</v>
      </c>
      <c r="P66" s="115"/>
      <c r="AG66" s="20">
        <v>46</v>
      </c>
      <c r="AH66" s="117" t="s">
        <v>4124</v>
      </c>
      <c r="AI66" s="117">
        <v>13000000</v>
      </c>
      <c r="AJ66" s="20">
        <v>2</v>
      </c>
      <c r="AK66" s="99">
        <f t="shared" si="14"/>
        <v>69</v>
      </c>
      <c r="AL66" s="113">
        <f t="shared" si="7"/>
        <v>897000000</v>
      </c>
      <c r="AM66" s="20"/>
    </row>
    <row r="67" spans="1:39">
      <c r="A67" t="s">
        <v>25</v>
      </c>
      <c r="F67" t="s">
        <v>310</v>
      </c>
      <c r="G67" t="s">
        <v>4104</v>
      </c>
      <c r="K67" s="18" t="s">
        <v>311</v>
      </c>
      <c r="L67" s="18">
        <v>300000</v>
      </c>
      <c r="M67" s="96"/>
      <c r="P67" s="115"/>
      <c r="AG67" s="20">
        <v>47</v>
      </c>
      <c r="AH67" s="117" t="s">
        <v>4137</v>
      </c>
      <c r="AI67" s="117">
        <v>-3100000</v>
      </c>
      <c r="AJ67" s="20">
        <v>3</v>
      </c>
      <c r="AK67" s="99">
        <f t="shared" si="14"/>
        <v>67</v>
      </c>
      <c r="AL67" s="113">
        <f t="shared" si="7"/>
        <v>-207700000</v>
      </c>
      <c r="AM67" s="20"/>
    </row>
    <row r="68" spans="1:39">
      <c r="F68" t="s">
        <v>4108</v>
      </c>
      <c r="G68" t="s">
        <v>4103</v>
      </c>
      <c r="K68" s="32" t="s">
        <v>312</v>
      </c>
      <c r="L68" s="1">
        <v>200000</v>
      </c>
      <c r="M68" s="96"/>
      <c r="N68" s="96"/>
      <c r="O68" s="96"/>
      <c r="P68" s="115"/>
      <c r="AG68" s="20">
        <v>48</v>
      </c>
      <c r="AH68" s="117" t="s">
        <v>4152</v>
      </c>
      <c r="AI68" s="117">
        <v>45640000</v>
      </c>
      <c r="AJ68" s="20">
        <v>1</v>
      </c>
      <c r="AK68" s="99">
        <f t="shared" si="14"/>
        <v>64</v>
      </c>
      <c r="AL68" s="113">
        <f t="shared" si="7"/>
        <v>2920960000</v>
      </c>
      <c r="AM68" s="20"/>
    </row>
    <row r="69" spans="1:39">
      <c r="F69" t="s">
        <v>4109</v>
      </c>
      <c r="G69" t="s">
        <v>4105</v>
      </c>
      <c r="K69" s="32" t="s">
        <v>313</v>
      </c>
      <c r="L69" s="1">
        <v>20000</v>
      </c>
      <c r="M69" s="96"/>
      <c r="N69" s="96"/>
      <c r="O69" s="96"/>
      <c r="P69" s="115"/>
      <c r="AG69" s="20">
        <v>49</v>
      </c>
      <c r="AH69" s="117" t="s">
        <v>4160</v>
      </c>
      <c r="AI69" s="117">
        <v>33500000</v>
      </c>
      <c r="AJ69" s="20">
        <v>1</v>
      </c>
      <c r="AK69" s="99">
        <f t="shared" si="14"/>
        <v>63</v>
      </c>
      <c r="AL69" s="113">
        <f t="shared" si="7"/>
        <v>2110500000</v>
      </c>
      <c r="AM69" s="20"/>
    </row>
    <row r="70" spans="1:39">
      <c r="G70" t="s">
        <v>4106</v>
      </c>
      <c r="K70" s="32" t="s">
        <v>315</v>
      </c>
      <c r="L70" s="1">
        <v>50000</v>
      </c>
      <c r="M70" s="96"/>
      <c r="N70" s="96"/>
      <c r="O70" s="96"/>
      <c r="P70" s="115"/>
      <c r="Q70" s="186"/>
      <c r="R70" s="186"/>
      <c r="S70" s="115"/>
      <c r="AG70" s="20">
        <v>50</v>
      </c>
      <c r="AH70" s="117" t="s">
        <v>4165</v>
      </c>
      <c r="AI70" s="117">
        <v>12000000</v>
      </c>
      <c r="AJ70" s="20">
        <v>1</v>
      </c>
      <c r="AK70" s="99">
        <f t="shared" si="14"/>
        <v>62</v>
      </c>
      <c r="AL70" s="117">
        <f t="shared" si="7"/>
        <v>744000000</v>
      </c>
      <c r="AM70" s="20"/>
    </row>
    <row r="71" spans="1:39">
      <c r="G71" t="s">
        <v>4107</v>
      </c>
      <c r="K71" s="32" t="s">
        <v>316</v>
      </c>
      <c r="L71" s="1">
        <v>90000</v>
      </c>
      <c r="M71" s="96"/>
      <c r="N71" s="96"/>
      <c r="O71" s="96"/>
      <c r="P71" s="115"/>
      <c r="Q71" s="115"/>
      <c r="R71" s="115"/>
      <c r="S71" s="115"/>
      <c r="AD71" s="115"/>
      <c r="AG71" s="20">
        <v>51</v>
      </c>
      <c r="AH71" s="117" t="s">
        <v>4171</v>
      </c>
      <c r="AI71" s="117">
        <v>15500000</v>
      </c>
      <c r="AJ71" s="20">
        <v>4</v>
      </c>
      <c r="AK71" s="99">
        <f t="shared" si="14"/>
        <v>61</v>
      </c>
      <c r="AL71" s="117">
        <f t="shared" si="7"/>
        <v>945500000</v>
      </c>
      <c r="AM71" s="20"/>
    </row>
    <row r="72" spans="1:39">
      <c r="G72" t="s">
        <v>4111</v>
      </c>
      <c r="K72" s="32" t="s">
        <v>317</v>
      </c>
      <c r="L72" s="1">
        <v>50000</v>
      </c>
      <c r="M72" s="96"/>
      <c r="N72" s="96"/>
      <c r="O72" s="96"/>
      <c r="P72" s="115"/>
      <c r="Q72" s="115"/>
      <c r="R72" s="115"/>
      <c r="S72" s="115"/>
      <c r="AD72" s="115"/>
      <c r="AE72" s="115"/>
      <c r="AG72" s="20">
        <v>52</v>
      </c>
      <c r="AH72" s="117" t="s">
        <v>4175</v>
      </c>
      <c r="AI72" s="117">
        <v>150000</v>
      </c>
      <c r="AJ72" s="20">
        <v>1</v>
      </c>
      <c r="AK72" s="99">
        <f t="shared" si="14"/>
        <v>57</v>
      </c>
      <c r="AL72" s="117">
        <f t="shared" si="7"/>
        <v>8550000</v>
      </c>
      <c r="AM72" s="20"/>
    </row>
    <row r="73" spans="1:39">
      <c r="G73" t="s">
        <v>4110</v>
      </c>
      <c r="K73" s="32" t="s">
        <v>327</v>
      </c>
      <c r="L73" s="1">
        <v>150000</v>
      </c>
      <c r="M73" s="96"/>
      <c r="N73" s="96"/>
      <c r="O73" s="96"/>
      <c r="P73" s="115"/>
      <c r="Q73" s="115"/>
      <c r="R73" s="115"/>
      <c r="S73" s="115"/>
      <c r="X73" s="115"/>
      <c r="AD73" s="115"/>
      <c r="AE73" s="115"/>
      <c r="AG73" s="181">
        <v>53</v>
      </c>
      <c r="AH73" s="182" t="s">
        <v>4181</v>
      </c>
      <c r="AI73" s="182">
        <v>29000000</v>
      </c>
      <c r="AJ73" s="181">
        <v>15</v>
      </c>
      <c r="AK73" s="181">
        <f t="shared" si="14"/>
        <v>56</v>
      </c>
      <c r="AL73" s="182">
        <f t="shared" si="7"/>
        <v>1624000000</v>
      </c>
      <c r="AM73" s="181" t="s">
        <v>4195</v>
      </c>
    </row>
    <row r="74" spans="1:39">
      <c r="K74" s="32" t="s">
        <v>318</v>
      </c>
      <c r="L74" s="1">
        <v>15000</v>
      </c>
      <c r="N74" s="96"/>
      <c r="P74" s="115"/>
      <c r="Q74" s="115"/>
      <c r="R74" s="115"/>
      <c r="S74" s="115"/>
      <c r="X74" s="163"/>
      <c r="AD74" s="115"/>
      <c r="AE74" s="115"/>
      <c r="AG74" s="20">
        <v>54</v>
      </c>
      <c r="AH74" s="117" t="s">
        <v>4219</v>
      </c>
      <c r="AI74" s="117">
        <v>-130000</v>
      </c>
      <c r="AJ74" s="20">
        <v>7</v>
      </c>
      <c r="AK74" s="99">
        <f t="shared" si="14"/>
        <v>41</v>
      </c>
      <c r="AL74" s="117">
        <f t="shared" si="7"/>
        <v>-5330000</v>
      </c>
      <c r="AM74" s="20" t="s">
        <v>4221</v>
      </c>
    </row>
    <row r="75" spans="1:39">
      <c r="K75" s="32" t="s">
        <v>319</v>
      </c>
      <c r="L75" s="1">
        <v>20000</v>
      </c>
      <c r="N75" s="96"/>
      <c r="P75" s="115"/>
      <c r="Q75" s="115"/>
      <c r="R75" s="115"/>
      <c r="S75" s="115"/>
      <c r="X75" s="115"/>
      <c r="Y75" s="115"/>
      <c r="Z75" s="115"/>
      <c r="AA75" s="115"/>
      <c r="AB75" s="115"/>
      <c r="AC75" s="115"/>
      <c r="AD75" s="115"/>
      <c r="AE75" s="115"/>
      <c r="AG75" s="20">
        <v>55</v>
      </c>
      <c r="AH75" s="117" t="s">
        <v>4275</v>
      </c>
      <c r="AI75" s="117">
        <v>232000</v>
      </c>
      <c r="AJ75" s="20">
        <v>2</v>
      </c>
      <c r="AK75" s="99">
        <f t="shared" si="14"/>
        <v>34</v>
      </c>
      <c r="AL75" s="117">
        <f>AI75*AK75</f>
        <v>7888000</v>
      </c>
      <c r="AM75" s="20" t="s">
        <v>4277</v>
      </c>
    </row>
    <row r="76" spans="1:39">
      <c r="K76" s="32" t="s">
        <v>320</v>
      </c>
      <c r="L76" s="1">
        <v>40000</v>
      </c>
      <c r="N76" s="96"/>
      <c r="P76" s="115"/>
      <c r="Q76" s="115"/>
      <c r="R76" s="115"/>
      <c r="S76" s="115"/>
      <c r="X76" s="115"/>
      <c r="Y76" s="128"/>
      <c r="Z76" s="115"/>
      <c r="AA76" s="115"/>
      <c r="AB76" s="115"/>
      <c r="AC76" s="128"/>
      <c r="AD76" s="115"/>
      <c r="AE76" s="115"/>
      <c r="AG76" s="20">
        <v>56</v>
      </c>
      <c r="AH76" s="117" t="s">
        <v>4289</v>
      </c>
      <c r="AI76" s="117">
        <v>-170000</v>
      </c>
      <c r="AJ76" s="20">
        <v>3</v>
      </c>
      <c r="AK76" s="99">
        <f t="shared" si="14"/>
        <v>32</v>
      </c>
      <c r="AL76" s="117">
        <f t="shared" si="7"/>
        <v>-5440000</v>
      </c>
      <c r="AM76" s="20"/>
    </row>
    <row r="77" spans="1:39">
      <c r="K77" s="32" t="s">
        <v>322</v>
      </c>
      <c r="L77" s="1">
        <v>150000</v>
      </c>
      <c r="N77" s="96"/>
      <c r="P77" s="115"/>
      <c r="Q77" s="115"/>
      <c r="R77" s="115"/>
      <c r="S77" s="115"/>
      <c r="X77" s="115"/>
      <c r="Y77" s="128"/>
      <c r="Z77" s="115"/>
      <c r="AA77" s="115"/>
      <c r="AB77" s="115"/>
      <c r="AC77" s="128"/>
      <c r="AD77" s="115"/>
      <c r="AE77" s="115"/>
      <c r="AG77" s="20">
        <v>57</v>
      </c>
      <c r="AH77" s="117" t="s">
        <v>4304</v>
      </c>
      <c r="AI77" s="117">
        <v>-300000</v>
      </c>
      <c r="AJ77" s="20">
        <v>3</v>
      </c>
      <c r="AK77" s="99">
        <f t="shared" si="14"/>
        <v>29</v>
      </c>
      <c r="AL77" s="117">
        <f t="shared" si="7"/>
        <v>-8700000</v>
      </c>
      <c r="AM77" s="20"/>
    </row>
    <row r="78" spans="1:39">
      <c r="K78" s="32" t="s">
        <v>324</v>
      </c>
      <c r="L78" s="1">
        <v>75000</v>
      </c>
      <c r="P78" s="115"/>
      <c r="Q78" s="115"/>
      <c r="R78" s="115"/>
      <c r="S78" s="115"/>
      <c r="X78" s="115"/>
      <c r="Y78" s="128"/>
      <c r="Z78" s="115"/>
      <c r="AA78" s="115"/>
      <c r="AB78" s="115"/>
      <c r="AC78" s="128"/>
      <c r="AD78" s="115"/>
      <c r="AE78" s="115"/>
      <c r="AG78" s="20">
        <v>58</v>
      </c>
      <c r="AH78" s="117" t="s">
        <v>4330</v>
      </c>
      <c r="AI78" s="117">
        <v>-11400000</v>
      </c>
      <c r="AJ78" s="20">
        <v>13</v>
      </c>
      <c r="AK78" s="99">
        <f t="shared" si="14"/>
        <v>26</v>
      </c>
      <c r="AL78" s="117">
        <f t="shared" si="7"/>
        <v>-296400000</v>
      </c>
      <c r="AM78" s="20"/>
    </row>
    <row r="79" spans="1:39">
      <c r="K79" s="32" t="s">
        <v>314</v>
      </c>
      <c r="L79" s="1">
        <v>140000</v>
      </c>
      <c r="P79" s="115"/>
      <c r="Q79" s="115"/>
      <c r="R79" s="115"/>
      <c r="S79" s="115"/>
      <c r="X79" s="115"/>
      <c r="Y79" s="128"/>
      <c r="Z79" s="115"/>
      <c r="AA79" s="115"/>
      <c r="AB79" s="115"/>
      <c r="AC79" s="128"/>
      <c r="AD79" s="115"/>
      <c r="AE79" s="115"/>
      <c r="AG79" s="20">
        <v>59</v>
      </c>
      <c r="AH79" s="117" t="s">
        <v>4400</v>
      </c>
      <c r="AI79" s="117">
        <v>-10000000</v>
      </c>
      <c r="AJ79" s="20">
        <v>1</v>
      </c>
      <c r="AK79" s="99">
        <f t="shared" si="14"/>
        <v>13</v>
      </c>
      <c r="AL79" s="117">
        <f t="shared" si="7"/>
        <v>-130000000</v>
      </c>
      <c r="AM79" s="20"/>
    </row>
    <row r="80" spans="1:39">
      <c r="K80" s="2" t="s">
        <v>478</v>
      </c>
      <c r="L80" s="3">
        <v>1083333</v>
      </c>
      <c r="P80" s="115"/>
      <c r="Q80" s="115"/>
      <c r="R80" s="115"/>
      <c r="S80" s="115"/>
      <c r="X80" s="115"/>
      <c r="Y80" s="128"/>
      <c r="Z80" s="115"/>
      <c r="AA80" s="115"/>
      <c r="AB80" s="115"/>
      <c r="AC80" s="128"/>
      <c r="AD80" s="115"/>
      <c r="AE80" s="115"/>
      <c r="AG80" s="20">
        <v>60</v>
      </c>
      <c r="AH80" s="117" t="s">
        <v>4401</v>
      </c>
      <c r="AI80" s="117">
        <v>-2450000</v>
      </c>
      <c r="AJ80" s="20">
        <v>5</v>
      </c>
      <c r="AK80" s="99">
        <f t="shared" si="14"/>
        <v>12</v>
      </c>
      <c r="AL80" s="117">
        <f t="shared" si="7"/>
        <v>-29400000</v>
      </c>
      <c r="AM80" s="20"/>
    </row>
    <row r="81" spans="11:51">
      <c r="K81" s="2"/>
      <c r="L81" s="3"/>
      <c r="P81" s="128"/>
      <c r="Q81" s="115"/>
      <c r="R81" s="115"/>
      <c r="S81" s="115"/>
      <c r="X81" s="115"/>
      <c r="Y81" s="128"/>
      <c r="Z81" s="115"/>
      <c r="AA81" s="115"/>
      <c r="AB81" s="115"/>
      <c r="AC81" s="128"/>
      <c r="AD81" s="115"/>
      <c r="AE81" s="115"/>
      <c r="AG81" s="20">
        <v>61</v>
      </c>
      <c r="AH81" s="117" t="s">
        <v>4429</v>
      </c>
      <c r="AI81" s="117">
        <v>-456081</v>
      </c>
      <c r="AJ81" s="20">
        <v>1</v>
      </c>
      <c r="AK81" s="99">
        <f t="shared" si="14"/>
        <v>7</v>
      </c>
      <c r="AL81" s="117">
        <f t="shared" si="7"/>
        <v>-3192567</v>
      </c>
      <c r="AM81" s="20"/>
    </row>
    <row r="82" spans="11:51">
      <c r="K82" s="2"/>
      <c r="L82" s="3"/>
      <c r="P82" s="128"/>
      <c r="Q82" s="115"/>
      <c r="R82" s="115"/>
      <c r="S82" s="115"/>
      <c r="X82" s="115"/>
      <c r="Y82" s="115"/>
      <c r="Z82" s="115"/>
      <c r="AA82" s="115"/>
      <c r="AB82" s="115"/>
      <c r="AC82" s="115"/>
      <c r="AD82" s="115"/>
      <c r="AE82" s="115"/>
      <c r="AG82" s="20">
        <v>62</v>
      </c>
      <c r="AH82" s="117" t="s">
        <v>4432</v>
      </c>
      <c r="AI82" s="117">
        <v>-500000</v>
      </c>
      <c r="AJ82" s="20">
        <v>2</v>
      </c>
      <c r="AK82" s="99">
        <f t="shared" si="14"/>
        <v>6</v>
      </c>
      <c r="AL82" s="117">
        <f t="shared" si="7"/>
        <v>-3000000</v>
      </c>
      <c r="AM82" s="20"/>
      <c r="AN82" t="s">
        <v>25</v>
      </c>
      <c r="AQ82" t="s">
        <v>25</v>
      </c>
      <c r="AV82" t="s">
        <v>25</v>
      </c>
    </row>
    <row r="83" spans="11:51">
      <c r="K83" s="2" t="s">
        <v>6</v>
      </c>
      <c r="L83" s="3">
        <f>SUM(L60:L81)</f>
        <v>3383333</v>
      </c>
      <c r="P83" s="115"/>
      <c r="Q83" s="115"/>
      <c r="R83" s="115"/>
      <c r="S83" s="115"/>
      <c r="T83" s="115"/>
      <c r="U83" s="115"/>
      <c r="X83" s="115"/>
      <c r="Y83" s="115"/>
      <c r="Z83" s="115"/>
      <c r="AA83" s="115"/>
      <c r="AB83" s="115"/>
      <c r="AC83" s="115"/>
      <c r="AE83" s="115"/>
      <c r="AG83" s="20">
        <v>63</v>
      </c>
      <c r="AH83" s="117" t="s">
        <v>4457</v>
      </c>
      <c r="AI83" s="117">
        <v>-6234370</v>
      </c>
      <c r="AJ83" s="20">
        <v>3</v>
      </c>
      <c r="AK83" s="99">
        <f t="shared" si="14"/>
        <v>4</v>
      </c>
      <c r="AL83" s="117">
        <f t="shared" si="7"/>
        <v>-24937480</v>
      </c>
      <c r="AM83" s="20"/>
    </row>
    <row r="84" spans="11:51">
      <c r="K84" s="2" t="s">
        <v>328</v>
      </c>
      <c r="L84" s="3">
        <f>L83/30</f>
        <v>112777.76666666666</v>
      </c>
      <c r="Q84" s="115"/>
      <c r="R84" s="115"/>
      <c r="S84" s="115"/>
      <c r="T84" s="115"/>
      <c r="U84" s="115"/>
      <c r="X84" s="115"/>
      <c r="Y84" s="115"/>
      <c r="Z84" s="115"/>
      <c r="AG84" s="20">
        <v>64</v>
      </c>
      <c r="AH84" s="117" t="s">
        <v>4468</v>
      </c>
      <c r="AI84" s="117">
        <v>1950957</v>
      </c>
      <c r="AJ84" s="20">
        <v>1</v>
      </c>
      <c r="AK84" s="99">
        <f t="shared" si="14"/>
        <v>1</v>
      </c>
      <c r="AL84" s="117">
        <f t="shared" si="7"/>
        <v>1950957</v>
      </c>
      <c r="AM84" s="20"/>
      <c r="AY84" t="s">
        <v>25</v>
      </c>
    </row>
    <row r="85" spans="11:51">
      <c r="O85" s="115"/>
      <c r="Q85" s="55"/>
      <c r="R85" s="187"/>
      <c r="S85" s="115"/>
      <c r="T85" s="115"/>
      <c r="U85" s="115"/>
      <c r="Y85" s="115"/>
      <c r="Z85" s="115"/>
      <c r="AG85" s="20" t="s">
        <v>25</v>
      </c>
      <c r="AH85" s="117"/>
      <c r="AI85" s="117"/>
      <c r="AJ85" s="20"/>
      <c r="AK85" s="99">
        <f t="shared" si="14"/>
        <v>0</v>
      </c>
      <c r="AL85" s="117">
        <f t="shared" si="7"/>
        <v>0</v>
      </c>
      <c r="AM85" s="20"/>
      <c r="AU85" t="s">
        <v>25</v>
      </c>
    </row>
    <row r="86" spans="11:51">
      <c r="O86" s="115"/>
      <c r="Q86" s="55"/>
      <c r="R86" s="187"/>
      <c r="S86" s="115"/>
      <c r="T86" s="115"/>
      <c r="U86" s="115"/>
      <c r="Y86" s="115"/>
      <c r="Z86" s="115"/>
      <c r="AG86" s="20"/>
      <c r="AH86" s="117"/>
      <c r="AI86" s="117"/>
      <c r="AJ86" s="20"/>
      <c r="AK86" s="99">
        <f t="shared" si="14"/>
        <v>0</v>
      </c>
      <c r="AL86" s="117">
        <f t="shared" si="7"/>
        <v>0</v>
      </c>
      <c r="AM86" s="20"/>
    </row>
    <row r="87" spans="11:51">
      <c r="Q87" s="26"/>
      <c r="R87" s="187"/>
      <c r="S87" s="115"/>
      <c r="AG87" s="99"/>
      <c r="AH87" s="113"/>
      <c r="AI87" s="113"/>
      <c r="AJ87" s="99"/>
      <c r="AK87" s="99">
        <f t="shared" si="14"/>
        <v>0</v>
      </c>
      <c r="AL87" s="117">
        <f t="shared" si="7"/>
        <v>0</v>
      </c>
      <c r="AM87" s="99"/>
      <c r="AT87" s="96" t="s">
        <v>25</v>
      </c>
    </row>
    <row r="88" spans="11:51">
      <c r="Q88" s="55"/>
      <c r="R88" s="187"/>
      <c r="S88" s="122"/>
      <c r="AG88" s="99"/>
      <c r="AH88" s="113"/>
      <c r="AI88" s="113"/>
      <c r="AJ88" s="99"/>
      <c r="AK88" s="99">
        <f t="shared" si="14"/>
        <v>0</v>
      </c>
      <c r="AL88" s="117">
        <f t="shared" si="7"/>
        <v>0</v>
      </c>
      <c r="AM88" s="99"/>
      <c r="AT88" s="96" t="s">
        <v>25</v>
      </c>
    </row>
    <row r="89" spans="11:51">
      <c r="Q89" s="55"/>
      <c r="R89" s="187"/>
      <c r="S89" s="115"/>
      <c r="AG89" s="99"/>
      <c r="AH89" s="99"/>
      <c r="AI89" s="95">
        <f>SUM(AI20:AI87)</f>
        <v>193134405</v>
      </c>
      <c r="AJ89" s="99"/>
      <c r="AK89" s="99"/>
      <c r="AL89" s="95">
        <f>SUM(AL20:AL88)</f>
        <v>19432406520</v>
      </c>
      <c r="AM89" s="95">
        <f>AL89*AM92/31</f>
        <v>12537036.464516129</v>
      </c>
      <c r="AP89" t="s">
        <v>25</v>
      </c>
      <c r="AU89" t="s">
        <v>25</v>
      </c>
    </row>
    <row r="90" spans="11:51">
      <c r="K90" s="48" t="s">
        <v>788</v>
      </c>
      <c r="L90" s="48" t="s">
        <v>476</v>
      </c>
      <c r="Q90" s="122"/>
      <c r="R90" s="115"/>
      <c r="S90" s="115"/>
      <c r="AG90" s="99"/>
      <c r="AH90" s="99"/>
      <c r="AI90" s="99" t="s">
        <v>4064</v>
      </c>
      <c r="AJ90" s="99"/>
      <c r="AK90" s="99"/>
      <c r="AL90" s="99" t="s">
        <v>284</v>
      </c>
      <c r="AM90" s="99" t="s">
        <v>944</v>
      </c>
    </row>
    <row r="91" spans="11:51">
      <c r="K91" s="47">
        <v>700000</v>
      </c>
      <c r="L91" s="48" t="s">
        <v>1040</v>
      </c>
      <c r="AG91" s="99"/>
      <c r="AH91" s="99"/>
      <c r="AI91" s="99"/>
      <c r="AJ91" s="99"/>
      <c r="AK91" s="99"/>
      <c r="AL91" s="99"/>
      <c r="AM91" s="99"/>
      <c r="AS91" s="96" t="s">
        <v>25</v>
      </c>
    </row>
    <row r="92" spans="11:51">
      <c r="K92" s="47">
        <v>500000</v>
      </c>
      <c r="L92" s="48" t="s">
        <v>479</v>
      </c>
      <c r="AG92" s="99"/>
      <c r="AH92" s="99"/>
      <c r="AI92" s="99"/>
      <c r="AJ92" s="99"/>
      <c r="AK92" s="99"/>
      <c r="AL92" s="99" t="s">
        <v>4065</v>
      </c>
      <c r="AM92" s="99">
        <v>0.02</v>
      </c>
    </row>
    <row r="93" spans="11:51">
      <c r="K93" s="47">
        <v>180000</v>
      </c>
      <c r="L93" s="48" t="s">
        <v>558</v>
      </c>
      <c r="Q93" s="22"/>
      <c r="AG93" s="99"/>
      <c r="AH93" s="99"/>
      <c r="AI93" s="99"/>
      <c r="AJ93" s="99"/>
      <c r="AK93" s="99"/>
      <c r="AL93" s="99"/>
      <c r="AM93" s="99"/>
    </row>
    <row r="94" spans="11:51">
      <c r="K94" s="47">
        <v>0</v>
      </c>
      <c r="L94" s="48" t="s">
        <v>784</v>
      </c>
      <c r="AG94" s="99"/>
      <c r="AH94" s="99" t="s">
        <v>4066</v>
      </c>
      <c r="AI94" s="95">
        <f>AI89+AM89</f>
        <v>205671441.46451613</v>
      </c>
      <c r="AJ94" s="99"/>
      <c r="AK94" s="99"/>
      <c r="AL94" s="99"/>
      <c r="AM94" s="99"/>
    </row>
    <row r="95" spans="11:51">
      <c r="K95" s="47">
        <v>0</v>
      </c>
      <c r="L95" s="48" t="s">
        <v>785</v>
      </c>
      <c r="AH95" t="s">
        <v>4069</v>
      </c>
      <c r="AI95" s="114">
        <f>SUM(N37:N45)-N39+N35</f>
        <v>232522510.49999997</v>
      </c>
    </row>
    <row r="96" spans="11:51">
      <c r="K96" s="47">
        <v>500000</v>
      </c>
      <c r="L96" s="48" t="s">
        <v>786</v>
      </c>
      <c r="AH96" t="s">
        <v>4143</v>
      </c>
      <c r="AI96" s="114">
        <f>AI95-AI89</f>
        <v>39388105.49999997</v>
      </c>
    </row>
    <row r="97" spans="8:39">
      <c r="K97" s="47">
        <v>75000</v>
      </c>
      <c r="L97" s="48" t="s">
        <v>787</v>
      </c>
      <c r="AH97" t="s">
        <v>944</v>
      </c>
      <c r="AI97" s="114">
        <f>AM89</f>
        <v>12537036.464516129</v>
      </c>
    </row>
    <row r="98" spans="8:39">
      <c r="H98" s="96"/>
      <c r="K98" s="47">
        <v>0</v>
      </c>
      <c r="L98" s="48" t="s">
        <v>789</v>
      </c>
      <c r="AH98" t="s">
        <v>4070</v>
      </c>
      <c r="AI98" s="114">
        <f>AI95-AI94</f>
        <v>26851069.035483837</v>
      </c>
    </row>
    <row r="99" spans="8:39">
      <c r="K99" s="47">
        <v>500000</v>
      </c>
      <c r="L99" s="48" t="s">
        <v>564</v>
      </c>
    </row>
    <row r="100" spans="8:39">
      <c r="K100" s="47">
        <v>50000</v>
      </c>
      <c r="L100" s="48" t="s">
        <v>792</v>
      </c>
      <c r="AI100" t="s">
        <v>25</v>
      </c>
    </row>
    <row r="101" spans="8:39">
      <c r="K101" s="47">
        <v>140000</v>
      </c>
      <c r="L101" s="48" t="s">
        <v>314</v>
      </c>
    </row>
    <row r="102" spans="8:39">
      <c r="K102" s="47"/>
      <c r="L102" s="48" t="s">
        <v>25</v>
      </c>
    </row>
    <row r="103" spans="8:39">
      <c r="K103" s="47">
        <f>SUM(K91:K102)</f>
        <v>2645000</v>
      </c>
      <c r="L103" s="48" t="s">
        <v>6</v>
      </c>
    </row>
    <row r="105" spans="8:39">
      <c r="AG105" s="99" t="s">
        <v>3644</v>
      </c>
      <c r="AH105" s="99" t="s">
        <v>180</v>
      </c>
      <c r="AI105" s="99" t="s">
        <v>267</v>
      </c>
      <c r="AJ105" s="99" t="s">
        <v>4063</v>
      </c>
      <c r="AK105" s="99" t="s">
        <v>4055</v>
      </c>
      <c r="AL105" s="99" t="s">
        <v>282</v>
      </c>
      <c r="AM105" s="99" t="s">
        <v>4332</v>
      </c>
    </row>
    <row r="106" spans="8:39">
      <c r="AG106" s="99">
        <v>1</v>
      </c>
      <c r="AH106" s="99" t="s">
        <v>3954</v>
      </c>
      <c r="AI106" s="117">
        <v>3555820</v>
      </c>
      <c r="AJ106" s="99">
        <v>2</v>
      </c>
      <c r="AK106" s="99">
        <f>AJ106+AK107</f>
        <v>121</v>
      </c>
      <c r="AL106" s="99">
        <f>AI106*AK106</f>
        <v>430254220</v>
      </c>
      <c r="AM106" s="99" t="s">
        <v>4362</v>
      </c>
    </row>
    <row r="107" spans="8:39">
      <c r="AG107" s="99">
        <v>2</v>
      </c>
      <c r="AH107" s="99" t="s">
        <v>4029</v>
      </c>
      <c r="AI107" s="117">
        <v>1720837</v>
      </c>
      <c r="AJ107" s="99">
        <v>51</v>
      </c>
      <c r="AK107" s="99">
        <f t="shared" ref="AK107:AK129" si="15">AJ107+AK108</f>
        <v>119</v>
      </c>
      <c r="AL107" s="99">
        <f t="shared" ref="AL107:AL129" si="16">AI107*AK107</f>
        <v>204779603</v>
      </c>
      <c r="AM107" s="99" t="s">
        <v>4363</v>
      </c>
    </row>
    <row r="108" spans="8:39">
      <c r="AG108" s="99">
        <v>3</v>
      </c>
      <c r="AH108" s="99" t="s">
        <v>4137</v>
      </c>
      <c r="AI108" s="117">
        <v>150000</v>
      </c>
      <c r="AJ108" s="99">
        <v>3</v>
      </c>
      <c r="AK108" s="99">
        <f t="shared" si="15"/>
        <v>68</v>
      </c>
      <c r="AL108" s="99">
        <f t="shared" si="16"/>
        <v>10200000</v>
      </c>
      <c r="AM108" s="99"/>
    </row>
    <row r="109" spans="8:39">
      <c r="AG109" s="99">
        <v>4</v>
      </c>
      <c r="AH109" s="99" t="s">
        <v>4152</v>
      </c>
      <c r="AI109" s="117">
        <v>-95000</v>
      </c>
      <c r="AJ109" s="99">
        <v>8</v>
      </c>
      <c r="AK109" s="99">
        <f t="shared" si="15"/>
        <v>65</v>
      </c>
      <c r="AL109" s="99">
        <f t="shared" si="16"/>
        <v>-6175000</v>
      </c>
      <c r="AM109" s="99"/>
    </row>
    <row r="110" spans="8:39">
      <c r="AG110" s="99">
        <v>5</v>
      </c>
      <c r="AH110" s="99" t="s">
        <v>4181</v>
      </c>
      <c r="AI110" s="117">
        <v>3150000</v>
      </c>
      <c r="AJ110" s="99">
        <v>16</v>
      </c>
      <c r="AK110" s="99">
        <f t="shared" si="15"/>
        <v>57</v>
      </c>
      <c r="AL110" s="99">
        <f t="shared" si="16"/>
        <v>179550000</v>
      </c>
      <c r="AM110" s="99"/>
    </row>
    <row r="111" spans="8:39">
      <c r="AG111" s="99">
        <v>6</v>
      </c>
      <c r="AH111" s="99" t="s">
        <v>4250</v>
      </c>
      <c r="AI111" s="117">
        <v>-65000</v>
      </c>
      <c r="AJ111" s="99">
        <v>1</v>
      </c>
      <c r="AK111" s="99">
        <f t="shared" si="15"/>
        <v>41</v>
      </c>
      <c r="AL111" s="99">
        <f t="shared" si="16"/>
        <v>-2665000</v>
      </c>
      <c r="AM111" s="99"/>
    </row>
    <row r="112" spans="8:39">
      <c r="AG112" s="99">
        <v>7</v>
      </c>
      <c r="AH112" s="99" t="s">
        <v>4364</v>
      </c>
      <c r="AI112" s="117">
        <v>-95000</v>
      </c>
      <c r="AJ112" s="99">
        <v>6</v>
      </c>
      <c r="AK112" s="99">
        <f t="shared" si="15"/>
        <v>40</v>
      </c>
      <c r="AL112" s="99">
        <f t="shared" si="16"/>
        <v>-3800000</v>
      </c>
      <c r="AM112" s="99"/>
    </row>
    <row r="113" spans="33:42">
      <c r="AG113" s="99">
        <v>8</v>
      </c>
      <c r="AH113" s="99" t="s">
        <v>4365</v>
      </c>
      <c r="AI113" s="117">
        <v>232000</v>
      </c>
      <c r="AJ113" s="99">
        <v>7</v>
      </c>
      <c r="AK113" s="99">
        <f t="shared" si="15"/>
        <v>34</v>
      </c>
      <c r="AL113" s="99">
        <f t="shared" si="16"/>
        <v>7888000</v>
      </c>
      <c r="AM113" s="99"/>
    </row>
    <row r="114" spans="33:42">
      <c r="AG114" s="99">
        <v>9</v>
      </c>
      <c r="AH114" s="99" t="s">
        <v>4330</v>
      </c>
      <c r="AI114" s="117">
        <v>13000000</v>
      </c>
      <c r="AJ114" s="99">
        <v>2</v>
      </c>
      <c r="AK114" s="99">
        <f t="shared" si="15"/>
        <v>27</v>
      </c>
      <c r="AL114" s="99">
        <f t="shared" si="16"/>
        <v>351000000</v>
      </c>
      <c r="AM114" s="99"/>
    </row>
    <row r="115" spans="33:42">
      <c r="AG115" s="99">
        <v>10</v>
      </c>
      <c r="AH115" s="99" t="s">
        <v>4366</v>
      </c>
      <c r="AI115" s="117">
        <v>10000000</v>
      </c>
      <c r="AJ115" s="99">
        <v>3</v>
      </c>
      <c r="AK115" s="99">
        <f t="shared" si="15"/>
        <v>25</v>
      </c>
      <c r="AL115" s="99">
        <f t="shared" si="16"/>
        <v>250000000</v>
      </c>
      <c r="AM115" s="99"/>
    </row>
    <row r="116" spans="33:42">
      <c r="AG116" s="99">
        <v>11</v>
      </c>
      <c r="AH116" s="99" t="s">
        <v>4347</v>
      </c>
      <c r="AI116" s="117">
        <v>3400000</v>
      </c>
      <c r="AJ116" s="99">
        <v>9</v>
      </c>
      <c r="AK116" s="99">
        <f t="shared" si="15"/>
        <v>22</v>
      </c>
      <c r="AL116" s="99">
        <f t="shared" si="16"/>
        <v>74800000</v>
      </c>
      <c r="AM116" s="99"/>
    </row>
    <row r="117" spans="33:42">
      <c r="AG117" s="99">
        <v>12</v>
      </c>
      <c r="AH117" s="99" t="s">
        <v>4400</v>
      </c>
      <c r="AI117" s="117">
        <v>-8736514</v>
      </c>
      <c r="AJ117" s="99">
        <v>1</v>
      </c>
      <c r="AK117" s="99">
        <f>AJ117+AK118</f>
        <v>13</v>
      </c>
      <c r="AL117" s="99">
        <f t="shared" si="16"/>
        <v>-113574682</v>
      </c>
      <c r="AM117" s="99"/>
    </row>
    <row r="118" spans="33:42">
      <c r="AG118" s="99">
        <v>13</v>
      </c>
      <c r="AH118" s="99" t="s">
        <v>4401</v>
      </c>
      <c r="AI118" s="117">
        <v>555000</v>
      </c>
      <c r="AJ118" s="99">
        <v>5</v>
      </c>
      <c r="AK118" s="99">
        <f t="shared" ref="AK118:AK128" si="17">AJ118+AK119</f>
        <v>12</v>
      </c>
      <c r="AL118" s="99">
        <f t="shared" si="16"/>
        <v>6660000</v>
      </c>
      <c r="AM118" s="99"/>
    </row>
    <row r="119" spans="33:42">
      <c r="AG119" s="99">
        <v>14</v>
      </c>
      <c r="AH119" s="99" t="s">
        <v>4429</v>
      </c>
      <c r="AI119" s="117">
        <v>-448308</v>
      </c>
      <c r="AJ119" s="99">
        <v>6</v>
      </c>
      <c r="AK119" s="99">
        <f t="shared" si="17"/>
        <v>7</v>
      </c>
      <c r="AL119" s="99">
        <f t="shared" si="16"/>
        <v>-3138156</v>
      </c>
      <c r="AM119" s="99"/>
      <c r="AP119" t="s">
        <v>25</v>
      </c>
    </row>
    <row r="120" spans="33:42">
      <c r="AG120" s="99">
        <v>15</v>
      </c>
      <c r="AH120" s="99" t="s">
        <v>4468</v>
      </c>
      <c r="AI120" s="117">
        <v>33225</v>
      </c>
      <c r="AJ120" s="99">
        <v>1</v>
      </c>
      <c r="AK120" s="99">
        <f t="shared" si="17"/>
        <v>1</v>
      </c>
      <c r="AL120" s="99">
        <f t="shared" si="16"/>
        <v>33225</v>
      </c>
      <c r="AM120" s="99"/>
      <c r="AN120" t="s">
        <v>25</v>
      </c>
    </row>
    <row r="121" spans="33:42">
      <c r="AG121" s="99"/>
      <c r="AH121" s="99"/>
      <c r="AI121" s="117"/>
      <c r="AJ121" s="99"/>
      <c r="AK121" s="99">
        <f t="shared" si="17"/>
        <v>0</v>
      </c>
      <c r="AL121" s="99">
        <f t="shared" si="16"/>
        <v>0</v>
      </c>
      <c r="AM121" s="99"/>
      <c r="AO121" t="s">
        <v>25</v>
      </c>
    </row>
    <row r="122" spans="33:42">
      <c r="AG122" s="99"/>
      <c r="AH122" s="99"/>
      <c r="AI122" s="117"/>
      <c r="AJ122" s="99"/>
      <c r="AK122" s="99">
        <f t="shared" si="17"/>
        <v>0</v>
      </c>
      <c r="AL122" s="99">
        <f t="shared" si="16"/>
        <v>0</v>
      </c>
      <c r="AM122" s="99"/>
    </row>
    <row r="123" spans="33:42">
      <c r="AG123" s="99"/>
      <c r="AH123" s="99"/>
      <c r="AI123" s="117"/>
      <c r="AJ123" s="99"/>
      <c r="AK123" s="99">
        <f t="shared" si="17"/>
        <v>0</v>
      </c>
      <c r="AL123" s="99">
        <f t="shared" si="16"/>
        <v>0</v>
      </c>
      <c r="AM123" s="99"/>
    </row>
    <row r="124" spans="33:42">
      <c r="AG124" s="99"/>
      <c r="AH124" s="99"/>
      <c r="AI124" s="117"/>
      <c r="AJ124" s="99"/>
      <c r="AK124" s="99">
        <f t="shared" si="17"/>
        <v>0</v>
      </c>
      <c r="AL124" s="99">
        <f t="shared" si="16"/>
        <v>0</v>
      </c>
      <c r="AM124" s="99"/>
    </row>
    <row r="125" spans="33:42">
      <c r="AG125" s="99"/>
      <c r="AH125" s="99"/>
      <c r="AI125" s="117"/>
      <c r="AJ125" s="99"/>
      <c r="AK125" s="99">
        <f t="shared" si="17"/>
        <v>0</v>
      </c>
      <c r="AL125" s="99">
        <f t="shared" si="16"/>
        <v>0</v>
      </c>
      <c r="AM125" s="99"/>
    </row>
    <row r="126" spans="33:42">
      <c r="AG126" s="99"/>
      <c r="AH126" s="99"/>
      <c r="AI126" s="117"/>
      <c r="AJ126" s="99"/>
      <c r="AK126" s="99">
        <f t="shared" si="17"/>
        <v>0</v>
      </c>
      <c r="AL126" s="99">
        <f t="shared" si="16"/>
        <v>0</v>
      </c>
      <c r="AM126" s="99"/>
    </row>
    <row r="127" spans="33:42">
      <c r="AG127" s="99"/>
      <c r="AH127" s="99"/>
      <c r="AI127" s="117"/>
      <c r="AJ127" s="99"/>
      <c r="AK127" s="99">
        <f t="shared" si="17"/>
        <v>0</v>
      </c>
      <c r="AL127" s="99">
        <f t="shared" si="16"/>
        <v>0</v>
      </c>
      <c r="AM127" s="99"/>
    </row>
    <row r="128" spans="33:42">
      <c r="AG128" s="99"/>
      <c r="AH128" s="99"/>
      <c r="AI128" s="99"/>
      <c r="AJ128" s="99"/>
      <c r="AK128" s="99">
        <f t="shared" si="17"/>
        <v>0</v>
      </c>
      <c r="AL128" s="99">
        <f t="shared" si="16"/>
        <v>0</v>
      </c>
      <c r="AM128" s="99"/>
    </row>
    <row r="129" spans="33:39">
      <c r="AG129" s="99"/>
      <c r="AH129" s="99"/>
      <c r="AI129" s="99"/>
      <c r="AJ129" s="99"/>
      <c r="AK129" s="99">
        <f t="shared" si="15"/>
        <v>0</v>
      </c>
      <c r="AL129" s="99">
        <f t="shared" si="16"/>
        <v>0</v>
      </c>
      <c r="AM129" s="99"/>
    </row>
    <row r="130" spans="33:39">
      <c r="AG130" s="99"/>
      <c r="AH130" s="99"/>
      <c r="AI130" s="99"/>
      <c r="AJ130" s="99"/>
      <c r="AK130" s="99"/>
      <c r="AL130" s="99"/>
      <c r="AM130" s="99"/>
    </row>
    <row r="131" spans="33:39">
      <c r="AG131" s="99"/>
      <c r="AH131" s="99"/>
      <c r="AI131" s="95">
        <f>SUM(AI106:AI130)</f>
        <v>26357060</v>
      </c>
      <c r="AJ131" s="99"/>
      <c r="AK131" s="99"/>
      <c r="AL131" s="99">
        <f>SUM(AL106:AL130)</f>
        <v>1385812210</v>
      </c>
      <c r="AM131" s="95">
        <f>AL131*AM92/31</f>
        <v>894072.3935483871</v>
      </c>
    </row>
    <row r="132" spans="33:39">
      <c r="AI132" t="s">
        <v>4064</v>
      </c>
      <c r="AL132" t="s">
        <v>284</v>
      </c>
      <c r="AM132" t="s">
        <v>944</v>
      </c>
    </row>
    <row r="134" spans="33:39">
      <c r="AH134" t="s">
        <v>4066</v>
      </c>
      <c r="AI134" s="114">
        <f>AI131+AM131</f>
        <v>27251132.393548388</v>
      </c>
    </row>
    <row r="135" spans="33:39">
      <c r="AH135" t="s">
        <v>4069</v>
      </c>
      <c r="AI135" s="114">
        <f>SUM(N19:N24)+N30</f>
        <v>27880208.600000001</v>
      </c>
    </row>
    <row r="136" spans="33:39">
      <c r="AH136" t="s">
        <v>4143</v>
      </c>
      <c r="AI136" s="114">
        <f>AI135-AI131</f>
        <v>1523148.6000000015</v>
      </c>
    </row>
    <row r="137" spans="33:39">
      <c r="AH137" t="s">
        <v>944</v>
      </c>
      <c r="AI137" s="114">
        <f>AM131</f>
        <v>894072.3935483871</v>
      </c>
    </row>
    <row r="138" spans="33:39">
      <c r="AH138" t="s">
        <v>4070</v>
      </c>
      <c r="AI138" s="114">
        <f>AI136-AI137</f>
        <v>629076.20645161439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65 G67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workbookViewId="0">
      <selection activeCell="J12" sqref="J12:L29"/>
    </sheetView>
  </sheetViews>
  <sheetFormatPr defaultRowHeight="15"/>
  <cols>
    <col min="1" max="1" width="5" bestFit="1" customWidth="1"/>
    <col min="2" max="2" width="7.85546875" bestFit="1" customWidth="1"/>
    <col min="4" max="4" width="12.5703125" bestFit="1" customWidth="1"/>
    <col min="5" max="5" width="14.85546875" bestFit="1" customWidth="1"/>
    <col min="6" max="6" width="12.42578125" bestFit="1" customWidth="1"/>
    <col min="16" max="16" width="14.85546875" style="96" bestFit="1" customWidth="1"/>
    <col min="17" max="17" width="11.28515625" style="96" bestFit="1" customWidth="1"/>
    <col min="18" max="18" width="19.42578125" bestFit="1" customWidth="1"/>
    <col min="19" max="19" width="11.42578125" bestFit="1" customWidth="1"/>
    <col min="20" max="20" width="13.28515625" bestFit="1" customWidth="1"/>
    <col min="21" max="21" width="11.140625" bestFit="1" customWidth="1"/>
    <col min="22" max="22" width="12.42578125" bestFit="1" customWidth="1"/>
  </cols>
  <sheetData>
    <row r="1" spans="1:24">
      <c r="A1" s="99" t="s">
        <v>3644</v>
      </c>
      <c r="B1" s="99" t="s">
        <v>4294</v>
      </c>
      <c r="C1" s="99" t="s">
        <v>4295</v>
      </c>
      <c r="D1" s="99" t="s">
        <v>4296</v>
      </c>
      <c r="E1" s="99" t="s">
        <v>4297</v>
      </c>
      <c r="F1" s="74" t="s">
        <v>4298</v>
      </c>
      <c r="M1" s="99" t="s">
        <v>950</v>
      </c>
      <c r="N1" s="99">
        <v>6.3E-3</v>
      </c>
    </row>
    <row r="2" spans="1:24">
      <c r="A2" s="99">
        <v>1</v>
      </c>
      <c r="B2" s="99">
        <v>100</v>
      </c>
      <c r="C2" s="99">
        <v>0</v>
      </c>
      <c r="D2" s="99">
        <v>1000000</v>
      </c>
      <c r="E2" s="170">
        <v>0</v>
      </c>
      <c r="F2" s="74">
        <v>0</v>
      </c>
      <c r="M2" s="99" t="s">
        <v>61</v>
      </c>
      <c r="N2" s="99">
        <v>4.8999999999999998E-3</v>
      </c>
    </row>
    <row r="3" spans="1:24">
      <c r="A3" s="99">
        <v>2</v>
      </c>
      <c r="B3" s="99">
        <v>102</v>
      </c>
      <c r="C3" s="99">
        <v>-20000</v>
      </c>
      <c r="D3" s="99">
        <f>D2+C3</f>
        <v>980000</v>
      </c>
      <c r="E3" s="170">
        <f>-B3*C3*(1-IF(C3&lt;0,$N$1,$N$2))</f>
        <v>2027148</v>
      </c>
      <c r="F3" s="170">
        <f>ABS(B3*C3*IF(C3&lt;0,$N$1,$N$2))</f>
        <v>12852</v>
      </c>
      <c r="M3" s="99" t="s">
        <v>6</v>
      </c>
      <c r="N3" s="99">
        <f>N1+N2</f>
        <v>1.12E-2</v>
      </c>
    </row>
    <row r="4" spans="1:24">
      <c r="A4" s="99">
        <v>3</v>
      </c>
      <c r="B4" s="99">
        <v>104</v>
      </c>
      <c r="C4" s="99">
        <v>-20000</v>
      </c>
      <c r="D4" s="99">
        <f t="shared" ref="D4:D24" si="0">D3+C4</f>
        <v>960000</v>
      </c>
      <c r="E4" s="170">
        <f t="shared" ref="E4:E24" si="1">-B4*C4*(1-IF(C4&lt;0,$N$1,$N$2))</f>
        <v>2066896</v>
      </c>
      <c r="F4" s="170">
        <f t="shared" ref="F4:F24" si="2">ABS(B4*C4*IF(C4&lt;0,$N$1,$N$2))</f>
        <v>13104</v>
      </c>
    </row>
    <row r="5" spans="1:24">
      <c r="A5" s="99">
        <v>4</v>
      </c>
      <c r="B5" s="99">
        <v>102</v>
      </c>
      <c r="C5" s="99">
        <v>20000</v>
      </c>
      <c r="D5" s="99">
        <f t="shared" si="0"/>
        <v>980000</v>
      </c>
      <c r="E5" s="170">
        <f t="shared" si="1"/>
        <v>-2030004</v>
      </c>
      <c r="F5" s="170">
        <f t="shared" si="2"/>
        <v>9996</v>
      </c>
    </row>
    <row r="6" spans="1:24">
      <c r="A6" s="99">
        <v>5</v>
      </c>
      <c r="B6" s="99">
        <v>100</v>
      </c>
      <c r="C6" s="99">
        <v>20000</v>
      </c>
      <c r="D6" s="99">
        <f t="shared" si="0"/>
        <v>1000000</v>
      </c>
      <c r="E6" s="170">
        <f t="shared" si="1"/>
        <v>-1990200</v>
      </c>
      <c r="F6" s="170">
        <f t="shared" si="2"/>
        <v>9800</v>
      </c>
    </row>
    <row r="7" spans="1:24">
      <c r="A7" s="99">
        <v>6</v>
      </c>
      <c r="B7" s="99">
        <v>98</v>
      </c>
      <c r="C7" s="99">
        <v>20000</v>
      </c>
      <c r="D7" s="99">
        <f t="shared" si="0"/>
        <v>1020000</v>
      </c>
      <c r="E7" s="170">
        <f t="shared" si="1"/>
        <v>-1950396</v>
      </c>
      <c r="F7" s="170">
        <f t="shared" si="2"/>
        <v>9604</v>
      </c>
    </row>
    <row r="8" spans="1:24">
      <c r="A8" s="99">
        <v>7</v>
      </c>
      <c r="B8" s="99">
        <v>96</v>
      </c>
      <c r="C8" s="99">
        <v>20000</v>
      </c>
      <c r="D8" s="99">
        <f t="shared" si="0"/>
        <v>1040000</v>
      </c>
      <c r="E8" s="170">
        <f t="shared" si="1"/>
        <v>-1910592</v>
      </c>
      <c r="F8" s="170">
        <f t="shared" si="2"/>
        <v>9408</v>
      </c>
    </row>
    <row r="9" spans="1:24">
      <c r="A9" s="99">
        <v>8</v>
      </c>
      <c r="B9" s="99">
        <v>98</v>
      </c>
      <c r="C9" s="99">
        <v>-20000</v>
      </c>
      <c r="D9" s="99">
        <f t="shared" si="0"/>
        <v>1020000</v>
      </c>
      <c r="E9" s="170">
        <f t="shared" si="1"/>
        <v>1947652</v>
      </c>
      <c r="F9" s="170">
        <f t="shared" si="2"/>
        <v>12348</v>
      </c>
    </row>
    <row r="10" spans="1:24">
      <c r="A10" s="99">
        <v>9</v>
      </c>
      <c r="B10" s="99">
        <v>96</v>
      </c>
      <c r="C10" s="99">
        <v>20000</v>
      </c>
      <c r="D10" s="99">
        <f t="shared" si="0"/>
        <v>1040000</v>
      </c>
      <c r="E10" s="170">
        <f t="shared" si="1"/>
        <v>-1910592</v>
      </c>
      <c r="F10" s="170">
        <f t="shared" si="2"/>
        <v>9408</v>
      </c>
      <c r="S10" s="96"/>
      <c r="T10" s="96"/>
      <c r="U10" s="96" t="s">
        <v>4310</v>
      </c>
      <c r="V10" s="96" t="s">
        <v>4312</v>
      </c>
      <c r="W10" t="s">
        <v>4306</v>
      </c>
      <c r="X10" t="s">
        <v>4308</v>
      </c>
    </row>
    <row r="11" spans="1:24">
      <c r="A11" s="99">
        <v>10</v>
      </c>
      <c r="B11" s="99">
        <v>98</v>
      </c>
      <c r="C11" s="99">
        <v>-20000</v>
      </c>
      <c r="D11" s="99">
        <f t="shared" si="0"/>
        <v>1020000</v>
      </c>
      <c r="E11" s="170">
        <f t="shared" si="1"/>
        <v>1947652</v>
      </c>
      <c r="F11" s="170">
        <f t="shared" si="2"/>
        <v>12348</v>
      </c>
      <c r="S11" s="96"/>
      <c r="T11" s="96"/>
      <c r="U11" s="96">
        <v>10</v>
      </c>
      <c r="V11" s="96">
        <v>20</v>
      </c>
      <c r="W11">
        <v>9</v>
      </c>
      <c r="X11">
        <v>63500</v>
      </c>
    </row>
    <row r="12" spans="1:24">
      <c r="A12" s="99">
        <v>11</v>
      </c>
      <c r="B12" s="99">
        <v>100</v>
      </c>
      <c r="C12" s="99">
        <v>-20000</v>
      </c>
      <c r="D12" s="99">
        <f t="shared" si="0"/>
        <v>1000000</v>
      </c>
      <c r="E12" s="170">
        <f t="shared" si="1"/>
        <v>1987400</v>
      </c>
      <c r="F12" s="170">
        <f t="shared" si="2"/>
        <v>12600</v>
      </c>
      <c r="S12" s="96"/>
      <c r="T12" s="96"/>
      <c r="U12" s="96"/>
      <c r="V12" s="96"/>
    </row>
    <row r="13" spans="1:24">
      <c r="A13" s="99">
        <v>12</v>
      </c>
      <c r="B13" s="99">
        <v>102</v>
      </c>
      <c r="C13" s="99">
        <v>-20000</v>
      </c>
      <c r="D13" s="99">
        <f t="shared" si="0"/>
        <v>980000</v>
      </c>
      <c r="E13" s="170">
        <f t="shared" si="1"/>
        <v>2027148</v>
      </c>
      <c r="F13" s="170">
        <f t="shared" si="2"/>
        <v>12852</v>
      </c>
      <c r="O13" s="99" t="s">
        <v>446</v>
      </c>
      <c r="P13" s="99" t="s">
        <v>4309</v>
      </c>
      <c r="Q13" s="99" t="s">
        <v>4310</v>
      </c>
      <c r="R13" s="99" t="s">
        <v>4311</v>
      </c>
      <c r="S13" s="99" t="s">
        <v>4305</v>
      </c>
      <c r="T13" s="99" t="s">
        <v>4307</v>
      </c>
      <c r="U13" s="69" t="s">
        <v>4306</v>
      </c>
      <c r="V13" s="69" t="s">
        <v>4308</v>
      </c>
    </row>
    <row r="14" spans="1:24">
      <c r="A14" s="99">
        <v>13</v>
      </c>
      <c r="B14" s="99">
        <v>104</v>
      </c>
      <c r="C14" s="99">
        <v>-20000</v>
      </c>
      <c r="D14" s="99">
        <f t="shared" si="0"/>
        <v>960000</v>
      </c>
      <c r="E14" s="170">
        <f t="shared" si="1"/>
        <v>2066896</v>
      </c>
      <c r="F14" s="170">
        <f t="shared" si="2"/>
        <v>13104</v>
      </c>
      <c r="O14" s="99">
        <v>0</v>
      </c>
      <c r="P14" s="95">
        <v>1000000</v>
      </c>
      <c r="Q14" s="95">
        <v>0</v>
      </c>
      <c r="R14" s="170">
        <v>800000</v>
      </c>
      <c r="S14" s="170">
        <v>0</v>
      </c>
      <c r="T14" s="170">
        <v>800000</v>
      </c>
      <c r="U14" s="69">
        <v>0</v>
      </c>
      <c r="V14" s="170">
        <v>0</v>
      </c>
    </row>
    <row r="15" spans="1:24">
      <c r="A15" s="99">
        <v>14</v>
      </c>
      <c r="B15" s="99">
        <v>102</v>
      </c>
      <c r="C15" s="99">
        <v>20000</v>
      </c>
      <c r="D15" s="99">
        <f t="shared" si="0"/>
        <v>980000</v>
      </c>
      <c r="E15" s="170">
        <f t="shared" si="1"/>
        <v>-2030004</v>
      </c>
      <c r="F15" s="170">
        <f t="shared" si="2"/>
        <v>9996</v>
      </c>
      <c r="O15" s="99">
        <v>1</v>
      </c>
      <c r="P15" s="95">
        <f>P14+Q15</f>
        <v>1008333.3333333334</v>
      </c>
      <c r="Q15" s="95">
        <f>P14*$U$11/1200</f>
        <v>8333.3333333333339</v>
      </c>
      <c r="R15" s="95">
        <f>R14+S15-V15</f>
        <v>749833.33333333337</v>
      </c>
      <c r="S15" s="170">
        <f>R14*$V$11/1200</f>
        <v>13333.333333333334</v>
      </c>
      <c r="T15" s="95">
        <f>T14-U15-V15</f>
        <v>730500</v>
      </c>
      <c r="U15" s="170">
        <f>T14*$W$11/1200</f>
        <v>6000</v>
      </c>
      <c r="V15" s="170">
        <f t="shared" ref="V15:V26" si="3">$X$11</f>
        <v>63500</v>
      </c>
    </row>
    <row r="16" spans="1:24">
      <c r="A16" s="99">
        <v>15</v>
      </c>
      <c r="B16" s="99">
        <v>100</v>
      </c>
      <c r="C16" s="99">
        <v>20000</v>
      </c>
      <c r="D16" s="99">
        <f t="shared" si="0"/>
        <v>1000000</v>
      </c>
      <c r="E16" s="170">
        <f t="shared" si="1"/>
        <v>-1990200</v>
      </c>
      <c r="F16" s="170">
        <f t="shared" si="2"/>
        <v>9800</v>
      </c>
      <c r="O16" s="99">
        <v>2</v>
      </c>
      <c r="P16" s="95">
        <f t="shared" ref="P16:P26" si="4">P15+Q16</f>
        <v>1016736.1111111111</v>
      </c>
      <c r="Q16" s="95">
        <f t="shared" ref="Q16:Q26" si="5">P15*$U$11/1200</f>
        <v>8402.7777777777792</v>
      </c>
      <c r="R16" s="95">
        <f t="shared" ref="R16:R25" si="6">R15+S16-V16</f>
        <v>698830.55555555562</v>
      </c>
      <c r="S16" s="170">
        <f t="shared" ref="S16:S26" si="7">R15*$V$11/1200</f>
        <v>12497.222222222223</v>
      </c>
      <c r="T16" s="95">
        <f>T15-U16-V16</f>
        <v>661521.25</v>
      </c>
      <c r="U16" s="170">
        <f t="shared" ref="U16:U26" si="8">T15*$W$11/1200</f>
        <v>5478.75</v>
      </c>
      <c r="V16" s="170">
        <f t="shared" si="3"/>
        <v>63500</v>
      </c>
    </row>
    <row r="17" spans="1:22">
      <c r="A17" s="99">
        <v>16</v>
      </c>
      <c r="B17" s="99">
        <v>102</v>
      </c>
      <c r="C17" s="99">
        <v>-20000</v>
      </c>
      <c r="D17" s="99">
        <f t="shared" si="0"/>
        <v>980000</v>
      </c>
      <c r="E17" s="170">
        <f t="shared" si="1"/>
        <v>2027148</v>
      </c>
      <c r="F17" s="170">
        <f t="shared" si="2"/>
        <v>12852</v>
      </c>
      <c r="O17" s="99">
        <v>3</v>
      </c>
      <c r="P17" s="95">
        <f t="shared" si="4"/>
        <v>1025208.9120370371</v>
      </c>
      <c r="Q17" s="95">
        <f t="shared" si="5"/>
        <v>8472.800925925927</v>
      </c>
      <c r="R17" s="95">
        <f t="shared" si="6"/>
        <v>646977.73148148158</v>
      </c>
      <c r="S17" s="170">
        <f t="shared" si="7"/>
        <v>11647.175925925927</v>
      </c>
      <c r="T17" s="95">
        <f t="shared" ref="T17:T26" si="9">T16-U17-V17</f>
        <v>593059.84062499995</v>
      </c>
      <c r="U17" s="170">
        <f t="shared" si="8"/>
        <v>4961.4093750000002</v>
      </c>
      <c r="V17" s="170">
        <f t="shared" si="3"/>
        <v>63500</v>
      </c>
    </row>
    <row r="18" spans="1:22">
      <c r="A18" s="99">
        <v>17</v>
      </c>
      <c r="B18" s="99">
        <v>104</v>
      </c>
      <c r="C18" s="99">
        <v>-20000</v>
      </c>
      <c r="D18" s="99">
        <f t="shared" si="0"/>
        <v>960000</v>
      </c>
      <c r="E18" s="170">
        <f t="shared" si="1"/>
        <v>2066896</v>
      </c>
      <c r="F18" s="170">
        <f t="shared" si="2"/>
        <v>13104</v>
      </c>
      <c r="O18" s="99">
        <v>4</v>
      </c>
      <c r="P18" s="95">
        <f t="shared" si="4"/>
        <v>1033752.3196373457</v>
      </c>
      <c r="Q18" s="95">
        <f t="shared" si="5"/>
        <v>8543.4076003086429</v>
      </c>
      <c r="R18" s="95">
        <f t="shared" si="6"/>
        <v>594260.69367283955</v>
      </c>
      <c r="S18" s="170">
        <f t="shared" si="7"/>
        <v>10782.962191358025</v>
      </c>
      <c r="T18" s="95">
        <f t="shared" si="9"/>
        <v>525111.89182031248</v>
      </c>
      <c r="U18" s="170">
        <f t="shared" si="8"/>
        <v>4447.9488046874994</v>
      </c>
      <c r="V18" s="170">
        <f t="shared" si="3"/>
        <v>63500</v>
      </c>
    </row>
    <row r="19" spans="1:22">
      <c r="A19" s="99">
        <v>18</v>
      </c>
      <c r="B19" s="99">
        <v>106</v>
      </c>
      <c r="C19" s="99">
        <v>-20000</v>
      </c>
      <c r="D19" s="99">
        <f t="shared" si="0"/>
        <v>940000</v>
      </c>
      <c r="E19" s="170">
        <f t="shared" si="1"/>
        <v>2106644</v>
      </c>
      <c r="F19" s="170">
        <f t="shared" si="2"/>
        <v>13356</v>
      </c>
      <c r="O19" s="99">
        <v>5</v>
      </c>
      <c r="P19" s="95">
        <f t="shared" si="4"/>
        <v>1042366.9223009903</v>
      </c>
      <c r="Q19" s="95">
        <f t="shared" si="5"/>
        <v>8614.6026636445476</v>
      </c>
      <c r="R19" s="95">
        <f t="shared" si="6"/>
        <v>540665.03856738692</v>
      </c>
      <c r="S19" s="170">
        <f t="shared" si="7"/>
        <v>9904.3448945473265</v>
      </c>
      <c r="T19" s="95">
        <f t="shared" si="9"/>
        <v>457673.55263166013</v>
      </c>
      <c r="U19" s="170">
        <f t="shared" si="8"/>
        <v>3938.3391886523436</v>
      </c>
      <c r="V19" s="170">
        <f t="shared" si="3"/>
        <v>63500</v>
      </c>
    </row>
    <row r="20" spans="1:22">
      <c r="A20" s="99">
        <v>19</v>
      </c>
      <c r="B20" s="99">
        <v>108</v>
      </c>
      <c r="C20" s="99">
        <v>-20000</v>
      </c>
      <c r="D20" s="99">
        <f t="shared" si="0"/>
        <v>920000</v>
      </c>
      <c r="E20" s="170">
        <f t="shared" si="1"/>
        <v>2146392</v>
      </c>
      <c r="F20" s="170">
        <f t="shared" si="2"/>
        <v>13608</v>
      </c>
      <c r="O20" s="99">
        <v>6</v>
      </c>
      <c r="P20" s="95">
        <f t="shared" si="4"/>
        <v>1051053.3133201653</v>
      </c>
      <c r="Q20" s="95">
        <f t="shared" si="5"/>
        <v>8686.3910191749183</v>
      </c>
      <c r="R20" s="95">
        <f t="shared" si="6"/>
        <v>486176.12254351005</v>
      </c>
      <c r="S20" s="170">
        <f t="shared" si="7"/>
        <v>9011.0839761231164</v>
      </c>
      <c r="T20" s="95">
        <f t="shared" si="9"/>
        <v>390741.00098692271</v>
      </c>
      <c r="U20" s="170">
        <f t="shared" si="8"/>
        <v>3432.5516447374512</v>
      </c>
      <c r="V20" s="170">
        <f t="shared" si="3"/>
        <v>63500</v>
      </c>
    </row>
    <row r="21" spans="1:22">
      <c r="A21" s="99">
        <v>20</v>
      </c>
      <c r="B21" s="99">
        <v>106</v>
      </c>
      <c r="C21" s="99">
        <v>20000</v>
      </c>
      <c r="D21" s="99">
        <f t="shared" si="0"/>
        <v>940000</v>
      </c>
      <c r="E21" s="170">
        <f t="shared" si="1"/>
        <v>-2109612</v>
      </c>
      <c r="F21" s="170">
        <f t="shared" si="2"/>
        <v>10388</v>
      </c>
      <c r="O21" s="99">
        <v>7</v>
      </c>
      <c r="P21" s="95">
        <f t="shared" si="4"/>
        <v>1059812.0909311667</v>
      </c>
      <c r="Q21" s="95">
        <f t="shared" si="5"/>
        <v>8758.7776110013783</v>
      </c>
      <c r="R21" s="95">
        <f t="shared" si="6"/>
        <v>430779.0579192352</v>
      </c>
      <c r="S21" s="170">
        <f t="shared" si="7"/>
        <v>8102.9353757251674</v>
      </c>
      <c r="T21" s="95">
        <f t="shared" si="9"/>
        <v>324310.44347952079</v>
      </c>
      <c r="U21" s="170">
        <f t="shared" si="8"/>
        <v>2930.5575074019202</v>
      </c>
      <c r="V21" s="170">
        <f t="shared" si="3"/>
        <v>63500</v>
      </c>
    </row>
    <row r="22" spans="1:22">
      <c r="A22" s="99">
        <v>21</v>
      </c>
      <c r="B22" s="99">
        <v>104</v>
      </c>
      <c r="C22" s="99">
        <v>20000</v>
      </c>
      <c r="D22" s="99">
        <f t="shared" si="0"/>
        <v>960000</v>
      </c>
      <c r="E22" s="170">
        <f t="shared" si="1"/>
        <v>-2069808</v>
      </c>
      <c r="F22" s="170">
        <f t="shared" si="2"/>
        <v>10192</v>
      </c>
      <c r="O22" s="99">
        <v>8</v>
      </c>
      <c r="P22" s="95">
        <f t="shared" si="4"/>
        <v>1068643.8583555929</v>
      </c>
      <c r="Q22" s="95">
        <f t="shared" si="5"/>
        <v>8831.767424426389</v>
      </c>
      <c r="R22" s="95">
        <f t="shared" si="6"/>
        <v>374458.70888455579</v>
      </c>
      <c r="S22" s="170">
        <f t="shared" si="7"/>
        <v>7179.6509653205858</v>
      </c>
      <c r="T22" s="95">
        <f t="shared" si="9"/>
        <v>258378.11515342438</v>
      </c>
      <c r="U22" s="170">
        <f t="shared" si="8"/>
        <v>2432.3283260964058</v>
      </c>
      <c r="V22" s="170">
        <f t="shared" si="3"/>
        <v>63500</v>
      </c>
    </row>
    <row r="23" spans="1:22">
      <c r="A23" s="99">
        <v>22</v>
      </c>
      <c r="B23" s="99">
        <v>102</v>
      </c>
      <c r="C23" s="99">
        <v>20000</v>
      </c>
      <c r="D23" s="99">
        <f t="shared" si="0"/>
        <v>980000</v>
      </c>
      <c r="E23" s="170">
        <f t="shared" si="1"/>
        <v>-2030004</v>
      </c>
      <c r="F23" s="170">
        <f t="shared" si="2"/>
        <v>9996</v>
      </c>
      <c r="O23" s="99">
        <v>9</v>
      </c>
      <c r="P23" s="95">
        <f t="shared" si="4"/>
        <v>1077549.2238418895</v>
      </c>
      <c r="Q23" s="95">
        <f t="shared" si="5"/>
        <v>8905.3654862966087</v>
      </c>
      <c r="R23" s="95">
        <f t="shared" si="6"/>
        <v>317199.68736596504</v>
      </c>
      <c r="S23" s="170">
        <f t="shared" si="7"/>
        <v>6240.9784814092636</v>
      </c>
      <c r="T23" s="95">
        <f t="shared" si="9"/>
        <v>192940.27928977369</v>
      </c>
      <c r="U23" s="170">
        <f t="shared" si="8"/>
        <v>1937.835863650683</v>
      </c>
      <c r="V23" s="170">
        <f t="shared" si="3"/>
        <v>63500</v>
      </c>
    </row>
    <row r="24" spans="1:22">
      <c r="A24" s="99">
        <v>23</v>
      </c>
      <c r="B24" s="99">
        <v>100</v>
      </c>
      <c r="C24" s="99">
        <v>20000</v>
      </c>
      <c r="D24" s="99">
        <f t="shared" si="0"/>
        <v>1000000</v>
      </c>
      <c r="E24" s="170">
        <f t="shared" si="1"/>
        <v>-1990200</v>
      </c>
      <c r="F24" s="170">
        <f t="shared" si="2"/>
        <v>9800</v>
      </c>
      <c r="O24" s="99">
        <v>10</v>
      </c>
      <c r="P24" s="95">
        <f t="shared" si="4"/>
        <v>1086528.8007072385</v>
      </c>
      <c r="Q24" s="95">
        <f t="shared" si="5"/>
        <v>8979.5768653490795</v>
      </c>
      <c r="R24" s="95">
        <f t="shared" si="6"/>
        <v>258986.34882206446</v>
      </c>
      <c r="S24" s="170">
        <f t="shared" si="7"/>
        <v>5286.6614560994176</v>
      </c>
      <c r="T24" s="95">
        <f t="shared" si="9"/>
        <v>127993.22719510039</v>
      </c>
      <c r="U24" s="170">
        <f t="shared" si="8"/>
        <v>1447.0520946733027</v>
      </c>
      <c r="V24" s="170">
        <f t="shared" si="3"/>
        <v>63500</v>
      </c>
    </row>
    <row r="25" spans="1:22">
      <c r="A25" s="99">
        <v>24</v>
      </c>
      <c r="B25" s="99"/>
      <c r="C25" s="99"/>
      <c r="D25" s="99"/>
      <c r="E25" s="170"/>
      <c r="F25" s="99"/>
      <c r="O25" s="99">
        <v>11</v>
      </c>
      <c r="P25" s="95">
        <f t="shared" si="4"/>
        <v>1095583.2073797989</v>
      </c>
      <c r="Q25" s="95">
        <f t="shared" si="5"/>
        <v>9054.4066725603207</v>
      </c>
      <c r="R25" s="95">
        <f t="shared" si="6"/>
        <v>199802.78796909889</v>
      </c>
      <c r="S25" s="170">
        <f t="shared" si="7"/>
        <v>4316.4391470344081</v>
      </c>
      <c r="T25" s="95">
        <f t="shared" si="9"/>
        <v>63533.277991137147</v>
      </c>
      <c r="U25" s="170">
        <f t="shared" si="8"/>
        <v>959.9492039632529</v>
      </c>
      <c r="V25" s="170">
        <f t="shared" si="3"/>
        <v>63500</v>
      </c>
    </row>
    <row r="26" spans="1:22">
      <c r="A26" s="99">
        <v>25</v>
      </c>
      <c r="B26" s="99"/>
      <c r="C26" s="99"/>
      <c r="D26" s="99"/>
      <c r="E26" s="170">
        <f>SUM(E2:E24)</f>
        <v>406260</v>
      </c>
      <c r="F26" s="170">
        <f>SUM(F2:F25)</f>
        <v>250516</v>
      </c>
      <c r="O26" s="99">
        <v>12</v>
      </c>
      <c r="P26" s="95">
        <f t="shared" si="4"/>
        <v>1104713.0674412972</v>
      </c>
      <c r="Q26" s="95">
        <f t="shared" si="5"/>
        <v>9129.8600614983243</v>
      </c>
      <c r="R26" s="95">
        <f>R25+S26-V26</f>
        <v>139632.83443525055</v>
      </c>
      <c r="S26" s="170">
        <f t="shared" si="7"/>
        <v>3330.046466151648</v>
      </c>
      <c r="T26" s="95">
        <f t="shared" si="9"/>
        <v>-443.2215937963847</v>
      </c>
      <c r="U26" s="170">
        <f t="shared" si="8"/>
        <v>476.49958493352858</v>
      </c>
      <c r="V26" s="170">
        <f t="shared" si="3"/>
        <v>63500</v>
      </c>
    </row>
    <row r="27" spans="1:22">
      <c r="A27" s="99">
        <v>26</v>
      </c>
      <c r="B27" s="99"/>
      <c r="C27" s="99"/>
      <c r="D27" s="99"/>
      <c r="E27" s="99" t="s">
        <v>4299</v>
      </c>
      <c r="F27" s="99" t="s">
        <v>4300</v>
      </c>
      <c r="O27" s="99"/>
      <c r="P27" s="99"/>
      <c r="Q27" s="99"/>
      <c r="R27" s="99"/>
      <c r="S27" s="99"/>
      <c r="T27" s="99"/>
      <c r="U27" s="99"/>
      <c r="V27" s="99"/>
    </row>
    <row r="28" spans="1:22">
      <c r="A28" s="96"/>
      <c r="B28" s="96"/>
      <c r="C28" s="96"/>
      <c r="D28" s="96"/>
      <c r="E28" s="96"/>
      <c r="F28" s="96"/>
      <c r="O28" s="99"/>
      <c r="P28" s="99"/>
      <c r="Q28" s="99"/>
      <c r="R28" s="99"/>
      <c r="S28" s="99"/>
      <c r="T28" s="99"/>
      <c r="U28" s="99"/>
      <c r="V28" s="99"/>
    </row>
    <row r="29" spans="1:22">
      <c r="A29" s="96"/>
      <c r="B29" s="96"/>
      <c r="C29" s="96"/>
      <c r="D29" s="96"/>
      <c r="E29" s="96"/>
      <c r="F29" s="96"/>
      <c r="O29" s="99"/>
      <c r="P29" s="99"/>
      <c r="Q29" s="99"/>
      <c r="R29" s="99"/>
      <c r="S29" s="99"/>
      <c r="T29" s="99"/>
      <c r="U29" s="99"/>
      <c r="V29" s="99"/>
    </row>
    <row r="30" spans="1:22">
      <c r="A30" s="96"/>
      <c r="B30" s="96"/>
      <c r="C30" s="96"/>
      <c r="D30" s="96"/>
      <c r="E30" s="96"/>
      <c r="F30" s="96"/>
    </row>
    <row r="31" spans="1:22">
      <c r="A31" s="96"/>
      <c r="B31" s="96"/>
      <c r="C31" s="96"/>
      <c r="D31" s="96"/>
      <c r="E31" s="96"/>
      <c r="F31" s="96"/>
    </row>
    <row r="32" spans="1:22">
      <c r="A32" s="96"/>
      <c r="B32" s="96"/>
      <c r="C32" s="96"/>
      <c r="D32" s="96"/>
      <c r="E32" s="96"/>
      <c r="F32" s="96"/>
    </row>
    <row r="33" spans="1:18">
      <c r="A33" s="96"/>
      <c r="B33" s="96"/>
      <c r="C33" s="96"/>
      <c r="D33" s="96"/>
      <c r="E33" s="96"/>
      <c r="F33" s="96"/>
      <c r="R33" t="s">
        <v>25</v>
      </c>
    </row>
    <row r="34" spans="1:18">
      <c r="A34" s="96"/>
      <c r="B34" s="96"/>
      <c r="C34" s="96"/>
      <c r="D34" s="96"/>
      <c r="E34" s="96"/>
      <c r="F34" s="96"/>
    </row>
    <row r="35" spans="1:18">
      <c r="A35" s="96"/>
      <c r="B35" s="96"/>
      <c r="C35" s="96"/>
      <c r="D35" s="96"/>
      <c r="E35" s="96"/>
      <c r="F35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>
      <c r="A13" s="99" t="s">
        <v>1035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>
      <c r="A14" s="99" t="s">
        <v>1041</v>
      </c>
      <c r="B14" s="113">
        <v>-191000</v>
      </c>
      <c r="C14" s="99" t="s">
        <v>921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>
      <c r="A15" s="99" t="s">
        <v>1080</v>
      </c>
      <c r="B15" s="113">
        <v>-200000</v>
      </c>
      <c r="C15" s="99" t="s">
        <v>810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>
      <c r="A16" s="99" t="s">
        <v>1166</v>
      </c>
      <c r="B16" s="113">
        <v>-694356</v>
      </c>
      <c r="C16" s="99" t="s">
        <v>1167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>
      <c r="A17" s="99" t="s">
        <v>1178</v>
      </c>
      <c r="B17" s="113">
        <v>50000</v>
      </c>
      <c r="C17" s="99" t="s">
        <v>1192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>
      <c r="A18" s="99" t="s">
        <v>3675</v>
      </c>
      <c r="B18" s="113">
        <v>1047</v>
      </c>
      <c r="C18" s="99" t="s">
        <v>3678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>
      <c r="A19" s="99" t="s">
        <v>3711</v>
      </c>
      <c r="B19" s="113">
        <v>785500</v>
      </c>
      <c r="C19" s="99" t="s">
        <v>3715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>
      <c r="A20" s="99" t="s">
        <v>3807</v>
      </c>
      <c r="B20" s="113">
        <v>-57500</v>
      </c>
      <c r="C20" s="99" t="s">
        <v>1020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>
      <c r="A21" s="99" t="s">
        <v>3807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>
      <c r="A22" s="99" t="s">
        <v>3920</v>
      </c>
      <c r="B22" s="113">
        <v>-85000</v>
      </c>
      <c r="C22" s="99" t="s">
        <v>3931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>
      <c r="A23" s="69" t="s">
        <v>3899</v>
      </c>
      <c r="B23" s="113">
        <v>-180000</v>
      </c>
      <c r="C23" s="99" t="s">
        <v>3931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>
      <c r="A24" s="69" t="s">
        <v>3899</v>
      </c>
      <c r="B24" s="113">
        <v>-69000</v>
      </c>
      <c r="C24" s="99" t="s">
        <v>3931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>
      <c r="A25" s="69" t="s">
        <v>3916</v>
      </c>
      <c r="B25" s="113">
        <v>-8600</v>
      </c>
      <c r="C25" s="99" t="s">
        <v>3931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>
      <c r="A26" s="99" t="s">
        <v>3916</v>
      </c>
      <c r="B26" s="113">
        <v>-40000</v>
      </c>
      <c r="C26" s="99" t="s">
        <v>3931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>
      <c r="A27" s="99" t="s">
        <v>3916</v>
      </c>
      <c r="B27" s="113">
        <v>-92500</v>
      </c>
      <c r="C27" s="99" t="s">
        <v>3931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>
      <c r="A28" s="99" t="s">
        <v>3916</v>
      </c>
      <c r="B28" s="113">
        <v>-47000</v>
      </c>
      <c r="C28" s="99" t="s">
        <v>3931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>
      <c r="A29" s="99" t="s">
        <v>3921</v>
      </c>
      <c r="B29" s="113">
        <v>-77500</v>
      </c>
      <c r="C29" s="99" t="s">
        <v>3931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>
      <c r="A30" s="99" t="s">
        <v>3921</v>
      </c>
      <c r="B30" s="113">
        <v>-57000</v>
      </c>
      <c r="C30" s="99" t="s">
        <v>3931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>
      <c r="A31" s="99" t="s">
        <v>3921</v>
      </c>
      <c r="B31" s="113">
        <v>-45000</v>
      </c>
      <c r="C31" s="99" t="s">
        <v>3931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>
      <c r="A32" s="99" t="s">
        <v>3921</v>
      </c>
      <c r="B32" s="113">
        <v>-30000</v>
      </c>
      <c r="C32" s="99" t="s">
        <v>3931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>
      <c r="A33" s="99" t="s">
        <v>3930</v>
      </c>
      <c r="B33" s="113">
        <v>1000000</v>
      </c>
      <c r="C33" s="99" t="s">
        <v>3895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>
      <c r="A34" s="99" t="s">
        <v>3935</v>
      </c>
      <c r="B34" s="113">
        <v>-79700</v>
      </c>
      <c r="C34" s="99" t="s">
        <v>3931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>
      <c r="A35" s="99" t="s">
        <v>4029</v>
      </c>
      <c r="B35" s="113">
        <v>-1187</v>
      </c>
      <c r="C35" s="99" t="s">
        <v>3931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>
      <c r="A36" s="99" t="s">
        <v>3972</v>
      </c>
      <c r="B36" s="113">
        <v>-55262</v>
      </c>
      <c r="C36" s="99" t="s">
        <v>3931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>
      <c r="A37" s="99" t="s">
        <v>3974</v>
      </c>
      <c r="B37" s="113">
        <v>-15700</v>
      </c>
      <c r="C37" s="99" t="s">
        <v>3931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>
      <c r="A38" s="99" t="s">
        <v>4030</v>
      </c>
      <c r="B38" s="113">
        <v>-176000</v>
      </c>
      <c r="C38" s="99" t="s">
        <v>3931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>
      <c r="A39" s="99" t="s">
        <v>3996</v>
      </c>
      <c r="B39" s="113">
        <v>-68600</v>
      </c>
      <c r="C39" s="99" t="s">
        <v>3931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>
      <c r="A40" s="99" t="s">
        <v>4028</v>
      </c>
      <c r="B40" s="113">
        <v>-3540</v>
      </c>
      <c r="C40" s="99" t="s">
        <v>3931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>
      <c r="A41" s="99" t="s">
        <v>4026</v>
      </c>
      <c r="B41" s="113">
        <v>-315101</v>
      </c>
      <c r="C41" s="99" t="s">
        <v>4027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>
      <c r="A42" s="99" t="s">
        <v>3690</v>
      </c>
      <c r="B42" s="113">
        <v>-416000</v>
      </c>
      <c r="C42" s="99" t="s">
        <v>4036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AgentBased</vt:lpstr>
      <vt:lpstr>آبان97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2018-11-17T10:30:01Z</dcterms:modified>
</cp:coreProperties>
</file>