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1" i="63" l="1"/>
  <c r="G113" i="63"/>
  <c r="H113" i="63"/>
  <c r="I113" i="63"/>
  <c r="V140" i="18"/>
  <c r="W140" i="18" s="1"/>
  <c r="S140" i="18"/>
  <c r="I125" i="63"/>
  <c r="I124" i="63"/>
  <c r="C115" i="63"/>
  <c r="C114" i="63" s="1"/>
  <c r="X140" i="18" l="1"/>
  <c r="J138" i="18"/>
  <c r="G155" i="18"/>
  <c r="S136" i="18"/>
  <c r="H112" i="63"/>
  <c r="I112" i="63"/>
  <c r="G112" i="63"/>
  <c r="I126" i="63"/>
  <c r="J125" i="63" l="1"/>
  <c r="K124" i="63" s="1"/>
  <c r="I128" i="63"/>
  <c r="L45" i="18"/>
  <c r="M76" i="63"/>
  <c r="R180" i="18" l="1"/>
  <c r="O333" i="52" l="1"/>
  <c r="S224" i="18" l="1"/>
  <c r="J333" i="52" l="1"/>
  <c r="J332" i="52" l="1"/>
  <c r="G116" i="63"/>
  <c r="G115" i="63"/>
  <c r="H115" i="63"/>
  <c r="I115" i="63"/>
  <c r="H116" i="63"/>
  <c r="I116" i="63"/>
  <c r="G117" i="63"/>
  <c r="H117" i="63"/>
  <c r="I117"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P340" i="52" s="1"/>
  <c r="O340" i="52"/>
  <c r="N341" i="52"/>
  <c r="O341" i="52"/>
  <c r="P341" i="52"/>
  <c r="N342" i="52"/>
  <c r="P342" i="52" s="1"/>
  <c r="O342" i="52"/>
  <c r="N343" i="52"/>
  <c r="P343" i="52" s="1"/>
  <c r="O343" i="52"/>
  <c r="N344" i="52"/>
  <c r="O344" i="52"/>
  <c r="P344" i="52"/>
  <c r="N345" i="52"/>
  <c r="P345" i="52" s="1"/>
  <c r="O345" i="52"/>
  <c r="N346" i="52"/>
  <c r="P346" i="52" s="1"/>
  <c r="O346" i="52"/>
  <c r="N347" i="52"/>
  <c r="O347" i="52"/>
  <c r="N348" i="52"/>
  <c r="P348" i="52" s="1"/>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38" i="52" l="1"/>
  <c r="P337" i="52"/>
  <c r="P349" i="52"/>
  <c r="P363" i="52"/>
  <c r="P355" i="52"/>
  <c r="P347" i="52"/>
  <c r="P339" i="52"/>
  <c r="P332" i="52"/>
  <c r="P334" i="52"/>
  <c r="P331" i="52"/>
  <c r="J327" i="52"/>
  <c r="O327" i="52"/>
  <c r="N76" i="63" l="1"/>
  <c r="C107" i="63" l="1"/>
  <c r="C105" i="63"/>
  <c r="C108" i="63"/>
  <c r="C100" i="63"/>
  <c r="C95" i="63"/>
  <c r="C106" i="63"/>
  <c r="C96" i="63"/>
  <c r="C104" i="63"/>
  <c r="C97" i="63"/>
  <c r="C101" i="63"/>
  <c r="C90" i="63"/>
  <c r="C98" i="63"/>
  <c r="C102" i="63"/>
  <c r="C93" i="63"/>
  <c r="C99" i="63"/>
  <c r="C103" i="63"/>
  <c r="L14" i="60"/>
  <c r="G111" i="63" l="1"/>
  <c r="G114" i="63"/>
  <c r="G106" i="63"/>
  <c r="H106" i="63"/>
  <c r="I106" i="63"/>
  <c r="G107" i="63"/>
  <c r="H107" i="63"/>
  <c r="I107" i="63"/>
  <c r="G108" i="63"/>
  <c r="H108" i="63"/>
  <c r="I108" i="63"/>
  <c r="G109" i="63"/>
  <c r="H109" i="63"/>
  <c r="I109" i="63"/>
  <c r="G105" i="63"/>
  <c r="H111" i="63" l="1"/>
  <c r="G120" i="63" s="1"/>
  <c r="I111" i="63"/>
  <c r="I114" i="63"/>
  <c r="H114" i="63"/>
  <c r="G121" i="63" s="1"/>
  <c r="I105" i="63"/>
  <c r="H105" i="63"/>
  <c r="H120" i="63" l="1"/>
  <c r="H121"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9" i="18" l="1"/>
  <c r="H86" i="63"/>
  <c r="I86" i="63" l="1"/>
  <c r="G137" i="18"/>
  <c r="J137" i="18" s="1"/>
  <c r="W338"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9" i="63"/>
  <c r="H78" i="63"/>
  <c r="I78" i="63"/>
  <c r="I77" i="63"/>
  <c r="W336" i="18"/>
  <c r="O305" i="52"/>
  <c r="J305" i="52"/>
  <c r="D416" i="15" l="1"/>
  <c r="F417" i="15"/>
  <c r="D415" i="15" l="1"/>
  <c r="F416" i="15"/>
  <c r="W335" i="18"/>
  <c r="W334" i="18"/>
  <c r="O302" i="52"/>
  <c r="F415" i="15" l="1"/>
  <c r="D414" i="15"/>
  <c r="G136" i="18"/>
  <c r="D413" i="15" l="1"/>
  <c r="F414" i="15"/>
  <c r="V359" i="18"/>
  <c r="D412" i="15" l="1"/>
  <c r="F413" i="15"/>
  <c r="W333" i="18"/>
  <c r="O301" i="52"/>
  <c r="J136" i="18"/>
  <c r="F412" i="15" l="1"/>
  <c r="D411" i="15"/>
  <c r="J141" i="18"/>
  <c r="I141" i="18" s="1"/>
  <c r="D410" i="15" l="1"/>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1" i="18"/>
  <c r="X352" i="18" s="1"/>
  <c r="X347" i="18"/>
  <c r="X348" i="18" s="1"/>
  <c r="D408" i="15" l="1"/>
  <c r="F409" i="15"/>
  <c r="X350" i="18"/>
  <c r="X349" i="18"/>
  <c r="W327" i="18"/>
  <c r="U340" i="18"/>
  <c r="W326" i="18"/>
  <c r="W325" i="18"/>
  <c r="P26" i="18"/>
  <c r="N26" i="18" s="1"/>
  <c r="O298" i="52"/>
  <c r="D407" i="15" l="1"/>
  <c r="F408" i="15"/>
  <c r="W160" i="18"/>
  <c r="W156" i="18"/>
  <c r="W158" i="18"/>
  <c r="J298" i="52"/>
  <c r="AL222" i="18"/>
  <c r="AM222" i="18" s="1"/>
  <c r="AL223" i="18"/>
  <c r="AM223" i="18" s="1"/>
  <c r="AL224" i="18"/>
  <c r="AM224" i="18" s="1"/>
  <c r="AL225" i="18"/>
  <c r="AM225" i="18" s="1"/>
  <c r="F407" i="15" l="1"/>
  <c r="D406" i="15"/>
  <c r="O297" i="52"/>
  <c r="W324" i="18"/>
  <c r="W323" i="18"/>
  <c r="W322" i="18"/>
  <c r="D405" i="15" l="1"/>
  <c r="F406" i="15"/>
  <c r="T361" i="18"/>
  <c r="T363" i="18" s="1"/>
  <c r="W321" i="18"/>
  <c r="J296" i="52"/>
  <c r="D404" i="15" l="1"/>
  <c r="F405" i="15"/>
  <c r="J295" i="52"/>
  <c r="F404" i="15" l="1"/>
  <c r="D403" i="15"/>
  <c r="W320"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49" i="18"/>
  <c r="W313" i="18"/>
  <c r="G148" i="18"/>
  <c r="J148" i="18" s="1"/>
  <c r="N41"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8" i="18"/>
  <c r="J154" i="18" l="1"/>
  <c r="J157" i="18" s="1"/>
  <c r="J153" i="18"/>
  <c r="J146" i="18"/>
  <c r="I15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1" i="18"/>
  <c r="W290" i="18"/>
  <c r="W289" i="18"/>
  <c r="J202" i="52"/>
  <c r="D336" i="15" l="1"/>
  <c r="F337" i="15"/>
  <c r="W288" i="18"/>
  <c r="J201" i="52"/>
  <c r="W287" i="18"/>
  <c r="F336" i="15" l="1"/>
  <c r="D335" i="15"/>
  <c r="J200" i="52"/>
  <c r="D334" i="15" l="1"/>
  <c r="F335" i="15"/>
  <c r="W286" i="18"/>
  <c r="W285" i="18"/>
  <c r="AL233" i="18"/>
  <c r="AL221" i="18" s="1"/>
  <c r="AM221" i="18" s="1"/>
  <c r="F334" i="15" l="1"/>
  <c r="D333" i="15"/>
  <c r="AM233" i="18"/>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3" i="18"/>
  <c r="W269" i="18"/>
  <c r="O177" i="52"/>
  <c r="J177" i="52"/>
  <c r="M101" i="18" l="1"/>
  <c r="G156" i="18"/>
  <c r="G157" i="18" s="1"/>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AL403" i="18"/>
  <c r="AL402" i="18" s="1"/>
  <c r="O167" i="52"/>
  <c r="W266" i="18"/>
  <c r="AL401" i="18" l="1"/>
  <c r="AM402" i="18"/>
  <c r="AM403" i="18"/>
  <c r="O166" i="52"/>
  <c r="W265" i="18"/>
  <c r="AM401" i="18" l="1"/>
  <c r="AL400" i="18"/>
  <c r="W264" i="18"/>
  <c r="O165" i="52"/>
  <c r="J165" i="52"/>
  <c r="AL399" i="18" l="1"/>
  <c r="AM400" i="18"/>
  <c r="C7" i="60"/>
  <c r="D3" i="60"/>
  <c r="D4" i="60"/>
  <c r="D5" i="60"/>
  <c r="D2" i="60"/>
  <c r="F2" i="60"/>
  <c r="AM399" i="18" l="1"/>
  <c r="AL398" i="18"/>
  <c r="O162" i="52"/>
  <c r="J162" i="52"/>
  <c r="W263"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62" i="18"/>
  <c r="AM395" i="18" l="1"/>
  <c r="AL394" i="18"/>
  <c r="W261" i="18"/>
  <c r="AM394" i="18" l="1"/>
  <c r="AL393" i="18"/>
  <c r="AL190" i="18"/>
  <c r="AM393" i="18" l="1"/>
  <c r="AL392" i="18"/>
  <c r="AL189" i="18"/>
  <c r="AM190" i="18"/>
  <c r="N159" i="52"/>
  <c r="P160" i="52" s="1"/>
  <c r="W258"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7" i="18"/>
  <c r="W256" i="18"/>
  <c r="O150" i="52"/>
  <c r="AM388" i="18" l="1"/>
  <c r="AL387" i="18"/>
  <c r="AM185" i="18"/>
  <c r="AL184" i="18"/>
  <c r="AM387" i="18" l="1"/>
  <c r="AL38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54" i="18"/>
  <c r="AM384" i="18" l="1"/>
  <c r="AL383" i="18"/>
  <c r="AM181" i="18"/>
  <c r="AL180" i="18"/>
  <c r="G130" i="18"/>
  <c r="J130" i="18" s="1"/>
  <c r="J132" i="18" s="1"/>
  <c r="I132" i="18" s="1"/>
  <c r="G124" i="18"/>
  <c r="J124" i="18" s="1"/>
  <c r="W253" i="18"/>
  <c r="AM383" i="18" l="1"/>
  <c r="AL382" i="18"/>
  <c r="J126" i="18"/>
  <c r="I126" i="18" s="1"/>
  <c r="AM180" i="18"/>
  <c r="AL179" i="18"/>
  <c r="O142" i="52"/>
  <c r="J142" i="52"/>
  <c r="W252" i="18"/>
  <c r="AL381" i="18" l="1"/>
  <c r="AM382" i="18"/>
  <c r="AM179" i="18"/>
  <c r="AL178" i="18"/>
  <c r="AM178" i="18" s="1"/>
  <c r="O140" i="52"/>
  <c r="J140" i="52"/>
  <c r="W251" i="18"/>
  <c r="AM381" i="18" l="1"/>
  <c r="AL380" i="18"/>
  <c r="W250" i="18"/>
  <c r="W249" i="18"/>
  <c r="O139" i="52"/>
  <c r="J139" i="52"/>
  <c r="AL379" i="18" l="1"/>
  <c r="AM380" i="18"/>
  <c r="W248" i="18"/>
  <c r="AM379" i="18" l="1"/>
  <c r="AL378" i="18"/>
  <c r="AL377" i="18" l="1"/>
  <c r="AM378" i="18"/>
  <c r="M41" i="52"/>
  <c r="AL376" i="18" l="1"/>
  <c r="AM377" i="18"/>
  <c r="O135" i="52"/>
  <c r="J135" i="52"/>
  <c r="AM376" i="18" l="1"/>
  <c r="AL375" i="18"/>
  <c r="AL374" i="18" l="1"/>
  <c r="AM375" i="18"/>
  <c r="W247" i="18"/>
  <c r="AL373" i="18" l="1"/>
  <c r="AM374" i="18"/>
  <c r="O132" i="52"/>
  <c r="W246" i="18"/>
  <c r="AL372" i="18" l="1"/>
  <c r="AM373" i="18"/>
  <c r="O131" i="52"/>
  <c r="J3" i="60"/>
  <c r="J4" i="60"/>
  <c r="J5" i="60"/>
  <c r="J2" i="60"/>
  <c r="I9" i="60"/>
  <c r="I7" i="60"/>
  <c r="AL371" i="18" l="1"/>
  <c r="AM372" i="18"/>
  <c r="O130" i="52"/>
  <c r="O129" i="52"/>
  <c r="W245" i="18"/>
  <c r="W244" i="18"/>
  <c r="AM371" i="18" l="1"/>
  <c r="AL370" i="18"/>
  <c r="N129" i="52"/>
  <c r="AM370" i="18" l="1"/>
  <c r="AL369" i="18"/>
  <c r="O127" i="52"/>
  <c r="AL368" i="18" l="1"/>
  <c r="AM369" i="18"/>
  <c r="J126" i="52"/>
  <c r="O126" i="52"/>
  <c r="W243" i="18"/>
  <c r="AL367" i="18" l="1"/>
  <c r="AM368" i="18"/>
  <c r="O125" i="52"/>
  <c r="J125" i="52"/>
  <c r="AL366" i="18" l="1"/>
  <c r="AM367" i="18"/>
  <c r="W242"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40" i="18"/>
  <c r="AM363" i="18" l="1"/>
  <c r="AL362" i="18"/>
  <c r="AL361" i="18" l="1"/>
  <c r="AM362" i="18"/>
  <c r="O121" i="52"/>
  <c r="J121" i="52"/>
  <c r="W239" i="18"/>
  <c r="AM361" i="18" l="1"/>
  <c r="AL360" i="18"/>
  <c r="W238" i="18"/>
  <c r="J120" i="52"/>
  <c r="AM360" i="18" l="1"/>
  <c r="AL359" i="18"/>
  <c r="AL358" i="18" l="1"/>
  <c r="AM359" i="18"/>
  <c r="O117" i="52"/>
  <c r="AM358" i="18" l="1"/>
  <c r="AL357" i="18"/>
  <c r="O116" i="52"/>
  <c r="N116" i="52"/>
  <c r="AL356" i="18" l="1"/>
  <c r="AM357" i="18"/>
  <c r="W237"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6" i="18"/>
  <c r="J108" i="52"/>
  <c r="AL347" i="18" l="1"/>
  <c r="AM348" i="18"/>
  <c r="D303" i="15"/>
  <c r="F303" i="15" s="1"/>
  <c r="W235" i="18"/>
  <c r="W234"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33"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73" i="18"/>
  <c r="J90" i="52"/>
  <c r="J95" i="52"/>
  <c r="W231"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7" i="18"/>
  <c r="T356" i="18" s="1"/>
  <c r="W230" i="18"/>
  <c r="W229" i="18"/>
  <c r="W228" i="18"/>
  <c r="M48" i="52"/>
  <c r="M47" i="52"/>
  <c r="N38" i="52"/>
  <c r="N37" i="52"/>
  <c r="M49" i="52"/>
  <c r="N50" i="52" s="1"/>
  <c r="AL331" i="18" l="1"/>
  <c r="AM332" i="18"/>
  <c r="D287" i="15"/>
  <c r="F287" i="15" s="1"/>
  <c r="N49" i="52"/>
  <c r="W227" i="18"/>
  <c r="AM331" i="18" l="1"/>
  <c r="AL330" i="18"/>
  <c r="D286" i="15"/>
  <c r="F286" i="15" s="1"/>
  <c r="AM330" i="18" l="1"/>
  <c r="AL329" i="18"/>
  <c r="D285" i="15"/>
  <c r="F285" i="15" s="1"/>
  <c r="W226"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L326" i="18" l="1"/>
  <c r="AM327" i="18"/>
  <c r="D282" i="15"/>
  <c r="F282" i="15" s="1"/>
  <c r="G32" i="57"/>
  <c r="H32" i="57"/>
  <c r="D32" i="57"/>
  <c r="I32" i="57" s="1"/>
  <c r="D345" i="20"/>
  <c r="W224" i="18"/>
  <c r="W223" i="18"/>
  <c r="AL325" i="18" l="1"/>
  <c r="AM326" i="18"/>
  <c r="D281" i="15"/>
  <c r="F281" i="15" s="1"/>
  <c r="W15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22" i="18"/>
  <c r="D343" i="20"/>
  <c r="AM323" i="18" l="1"/>
  <c r="AL322" i="18"/>
  <c r="D278" i="15"/>
  <c r="F278" i="15" s="1"/>
  <c r="W221" i="18"/>
  <c r="D342" i="20"/>
  <c r="J83" i="52"/>
  <c r="O83" i="52"/>
  <c r="W220" i="18"/>
  <c r="W219" i="18"/>
  <c r="F44" i="14"/>
  <c r="F45" i="14"/>
  <c r="F46" i="14"/>
  <c r="F47" i="14"/>
  <c r="F48" i="14"/>
  <c r="F49" i="14"/>
  <c r="F50" i="14"/>
  <c r="D341" i="20"/>
  <c r="AL321" i="18" l="1"/>
  <c r="AM322" i="18"/>
  <c r="D277" i="15"/>
  <c r="F277" i="15" s="1"/>
  <c r="AJ404" i="18"/>
  <c r="AL320" i="18" l="1"/>
  <c r="AM321" i="18"/>
  <c r="D276" i="15"/>
  <c r="F276" i="15" s="1"/>
  <c r="W218" i="18"/>
  <c r="AL319" i="18" l="1"/>
  <c r="AM320" i="18"/>
  <c r="D340" i="20"/>
  <c r="W217" i="18"/>
  <c r="H337" i="20"/>
  <c r="H338" i="20"/>
  <c r="H339" i="20"/>
  <c r="H340" i="20"/>
  <c r="H341" i="20"/>
  <c r="H368" i="20"/>
  <c r="H369" i="20"/>
  <c r="D339" i="20"/>
  <c r="AL318" i="18" l="1"/>
  <c r="AM319" i="18"/>
  <c r="B371" i="20"/>
  <c r="D332" i="20"/>
  <c r="D333" i="20"/>
  <c r="D334" i="20"/>
  <c r="D335" i="20"/>
  <c r="D336" i="20"/>
  <c r="D337" i="20"/>
  <c r="D338" i="20"/>
  <c r="D369" i="20"/>
  <c r="AL317" i="18" l="1"/>
  <c r="AM318" i="18"/>
  <c r="W216" i="18"/>
  <c r="D80" i="57"/>
  <c r="AL316" i="18" l="1"/>
  <c r="AM317" i="18"/>
  <c r="G46" i="10"/>
  <c r="AL315" i="18" l="1"/>
  <c r="AM316" i="18"/>
  <c r="D331" i="20"/>
  <c r="AM315" i="18" l="1"/>
  <c r="AL314" i="18"/>
  <c r="D330" i="20"/>
  <c r="AM314" i="18" l="1"/>
  <c r="AL313" i="18"/>
  <c r="W215" i="18"/>
  <c r="W214"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13" i="18"/>
  <c r="W212" i="18"/>
  <c r="AL301" i="18" l="1"/>
  <c r="AM302"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11" i="18"/>
  <c r="W210" i="18"/>
  <c r="L32" i="18"/>
  <c r="N36" i="52"/>
  <c r="N35" i="52"/>
  <c r="Q42" i="52"/>
  <c r="AM300" i="18" l="1"/>
  <c r="AL299" i="18"/>
  <c r="W209" i="18"/>
  <c r="W208"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7" i="18" l="1"/>
  <c r="W206" i="18"/>
  <c r="N32" i="52"/>
  <c r="N31" i="52"/>
  <c r="W205" i="18" l="1"/>
  <c r="W204" i="18"/>
  <c r="N30" i="52"/>
  <c r="N29" i="52"/>
  <c r="W203" i="18" l="1"/>
  <c r="W202" i="18"/>
  <c r="N28" i="52"/>
  <c r="N27" i="52"/>
  <c r="AL296" i="18" l="1"/>
  <c r="D313" i="20"/>
  <c r="AL295" i="18" l="1"/>
  <c r="AM296" i="18"/>
  <c r="L108" i="18"/>
  <c r="L103" i="18" l="1"/>
  <c r="N103" i="18" s="1"/>
  <c r="L105" i="18"/>
  <c r="N105" i="18" s="1"/>
  <c r="L104" i="18"/>
  <c r="N104" i="18" s="1"/>
  <c r="M108" i="18"/>
  <c r="AM295" i="18"/>
  <c r="AL294" i="18"/>
  <c r="L100" i="18"/>
  <c r="W201" i="18"/>
  <c r="W200"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9" i="18"/>
  <c r="W198" i="18"/>
  <c r="N23" i="52"/>
  <c r="N22" i="52"/>
  <c r="I368" i="20" l="1"/>
  <c r="G367" i="20"/>
  <c r="J368" i="20"/>
  <c r="K368" i="20"/>
  <c r="AL291" i="18"/>
  <c r="AM292" i="18"/>
  <c r="W197" i="18"/>
  <c r="W196"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5" i="18"/>
  <c r="W194"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W15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T154" i="18"/>
  <c r="S56" i="18"/>
  <c r="S57" i="18" s="1"/>
  <c r="S58" i="18" s="1"/>
  <c r="R175" i="18"/>
  <c r="R173" i="18"/>
  <c r="D57" i="51"/>
  <c r="AL117" i="18" l="1"/>
  <c r="AM118" i="18"/>
  <c r="S59" i="18"/>
  <c r="S60" i="18" s="1"/>
  <c r="AM117" i="18" l="1"/>
  <c r="AL116" i="18"/>
  <c r="S61" i="18"/>
  <c r="S62" i="18" s="1"/>
  <c r="N27" i="18"/>
  <c r="Q78"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6"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71"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70" i="18"/>
  <c r="S101" i="18"/>
  <c r="S102" i="18" s="1"/>
  <c r="AJ240" i="18"/>
  <c r="AJ241" i="18" s="1"/>
  <c r="G305" i="20"/>
  <c r="I306" i="20"/>
  <c r="K306" i="20"/>
  <c r="J306" i="20"/>
  <c r="AL74" i="18"/>
  <c r="AM75" i="18"/>
  <c r="R183" i="18" l="1"/>
  <c r="T343" i="18" s="1"/>
  <c r="G304" i="20"/>
  <c r="I305" i="20"/>
  <c r="K305" i="20"/>
  <c r="J305" i="20"/>
  <c r="AL73" i="18"/>
  <c r="AM74" i="18"/>
  <c r="R82" i="18"/>
  <c r="V75" i="18" l="1"/>
  <c r="W75" i="18"/>
  <c r="X75" i="18"/>
  <c r="V46" i="18"/>
  <c r="W46" i="18" s="1"/>
  <c r="V144" i="18"/>
  <c r="V145"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6" i="18"/>
  <c r="S160" i="18"/>
  <c r="V69" i="18"/>
  <c r="X69" i="18" s="1"/>
  <c r="V68" i="18"/>
  <c r="W68" i="18" s="1"/>
  <c r="V77" i="18"/>
  <c r="V33" i="18"/>
  <c r="U356" i="18"/>
  <c r="V356" i="18" s="1"/>
  <c r="S159"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46" i="18" l="1"/>
  <c r="W145" i="18"/>
  <c r="X145" i="18"/>
  <c r="W144" i="18"/>
  <c r="X144"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60" i="18"/>
  <c r="V160" i="18" s="1"/>
  <c r="W69" i="18"/>
  <c r="X68" i="18"/>
  <c r="W77" i="18"/>
  <c r="X77" i="18"/>
  <c r="W33" i="18"/>
  <c r="X33" i="18"/>
  <c r="U159" i="18"/>
  <c r="V159" i="18" s="1"/>
  <c r="X67" i="18"/>
  <c r="W66" i="18"/>
  <c r="X66" i="18"/>
  <c r="W65" i="18"/>
  <c r="X65" i="18"/>
  <c r="X64" i="18"/>
  <c r="W32" i="18"/>
  <c r="X32" i="18"/>
  <c r="W31" i="18"/>
  <c r="X31" i="18"/>
  <c r="X30" i="18"/>
  <c r="W30" i="18"/>
  <c r="W29" i="18"/>
  <c r="X29" i="18"/>
  <c r="X28" i="18"/>
  <c r="W63" i="18"/>
  <c r="X63" i="18"/>
  <c r="W62" i="18"/>
  <c r="X62" i="18"/>
  <c r="W27" i="18"/>
  <c r="X27" i="18"/>
  <c r="S158"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7" i="18"/>
  <c r="N30" i="18" s="1"/>
  <c r="S156"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6" i="18" l="1"/>
  <c r="G159" i="18"/>
  <c r="N55" i="18"/>
  <c r="G158" i="18"/>
  <c r="L21" i="18"/>
  <c r="R167" i="18"/>
  <c r="U156" i="18"/>
  <c r="U158" i="18"/>
  <c r="V158" i="18" s="1"/>
  <c r="U157" i="18"/>
  <c r="V157"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V135" i="18" s="1"/>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W134" i="18" l="1"/>
  <c r="W135" i="18"/>
  <c r="X135" i="18"/>
  <c r="G122" i="20"/>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6" i="18" l="1"/>
  <c r="S137" i="18"/>
  <c r="X136" i="18"/>
  <c r="W136" i="18"/>
  <c r="G120" i="20"/>
  <c r="J121" i="20"/>
  <c r="K121" i="20"/>
  <c r="I121" i="20"/>
  <c r="E40" i="13"/>
  <c r="G41" i="13"/>
  <c r="C13" i="18"/>
  <c r="L16" i="18"/>
  <c r="V137" i="18" l="1"/>
  <c r="W137" i="18" s="1"/>
  <c r="S138" i="18"/>
  <c r="X137" i="18"/>
  <c r="G119" i="20"/>
  <c r="K120" i="20"/>
  <c r="J120" i="20"/>
  <c r="I120" i="20"/>
  <c r="E39" i="13"/>
  <c r="G40" i="13"/>
  <c r="C14" i="18"/>
  <c r="S139" i="18" l="1"/>
  <c r="V139" i="18" s="1"/>
  <c r="V138" i="18"/>
  <c r="G118" i="20"/>
  <c r="J119" i="20"/>
  <c r="I119" i="20"/>
  <c r="K119" i="20"/>
  <c r="E38" i="13"/>
  <c r="G39" i="13"/>
  <c r="F113" i="15"/>
  <c r="W138" i="18" l="1"/>
  <c r="X138" i="18"/>
  <c r="W139" i="18"/>
  <c r="X139" i="18"/>
  <c r="G117" i="20"/>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<sst xmlns="http://schemas.openxmlformats.org/spreadsheetml/2006/main" count="13662" uniqueCount="5624">
  <si>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</si>
  <si>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</si>
  <si>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</si>
  <si>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</si>
  <si>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</si>
  <si>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</si>
  <si>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</si>
  <si>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</si>
  <si>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</si>
  <si>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</si>
  <si>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</si>
  <si>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</si>
  <si>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</si>
  <si>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</si>
  <si>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</si>
  <si>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</si>
  <si>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</si>
  <si>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</si>
  <si>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</si>
  <si>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</si>
  <si>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</si>
  <si>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</si>
  <si>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</si>
  <si>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</si>
  <si>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</si>
  <si>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</si>
  <si>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</si>
  <si>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</si>
  <si>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</si>
  <si>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</si>
  <si>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</si>
  <si>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</si>
  <si>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</si>
  <si>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</si>
  <si>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</si>
  <si>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</si>
  <si>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</si>
  <si>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</si>
  <si>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</si>
  <si>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</si>
  <si>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</si>
  <si>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</si>
  <si>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</si>
  <si>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</si>
  <si>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</si>
  <si>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</si>
  <si>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</si>
  <si>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</si>
  <si>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</si>
  <si>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</si>
  <si>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</si>
  <si>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</si>
  <si>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</si>
  <si>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</si>
  <si>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</si>
  <si>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</si>
  <si>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</si>
  <si>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</si>
  <si>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</si>
  <si>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</si>
  <si>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</si>
  <si>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</si>
  <si>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</si>
  <si>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</si>
  <si>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</si>
  <si>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</si>
  <si>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</si>
  <si>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</si>
  <si>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</si>
  <si>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</si>
  <si>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</si>
  <si>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</si>
  <si>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</si>
  <si>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</si>
  <si>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</si>
  <si>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</si>
  <si>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</si>
  <si>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</si>
  <si>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</si>
  <si>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</si>
  <si>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</si>
  <si>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</si>
  <si>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</si>
  <si>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</si>
  <si>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</si>
  <si>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</si>
  <si>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</si>
  <si>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</si>
  <si>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</si>
  <si>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</si>
  <si>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</si>
  <si>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</si>
  <si>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</si>
  <si>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</si>
  <si>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</si>
  <si>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</si>
  <si>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</si>
  <si>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</si>
  <si>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</si>
  <si>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</si>
  <si>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</si>
  <si>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</si>
  <si>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</si>
  <si>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</si>
  <si>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</si>
  <si>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</si>
  <si>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</si>
  <si>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</si>
  <si>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</si>
  <si>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</si>
  <si>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</si>
  <si>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</si>
  <si>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</si>
  <si>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</si>
  <si>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</si>
  <si>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</si>
  <si>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</si>
  <si>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</si>
  <si>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</si>
  <si>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</si>
  <si>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</si>
  <si>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</si>
  <si>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</si>
  <si>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</si>
  <si>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</si>
  <si>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</si>
  <si>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</si>
  <si>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</si>
  <si>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</si>
  <si>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</si>
  <si>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</si>
  <si>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</si>
  <si>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</si>
  <si>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</si>
  <si>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</si>
  <si>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</si>
  <si>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</si>
  <si>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</si>
  <si>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</si>
  <si>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</si>
  <si>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</si>
  <si>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</si>
  <si>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</si>
  <si>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</si>
  <si>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</si>
  <si>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</si>
  <si>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</si>
  <si>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</si>
  <si>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</si>
  <si>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</si>
  <si>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</si>
  <si>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</si>
  <si>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</si>
  <si>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</si>
  <si>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</si>
  <si>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</si>
  <si>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</si>
  <si>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</si>
  <si>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</si>
  <si>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</si>
  <si>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</si>
  <si>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</si>
  <si>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</si>
  <si>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</si>
  <si>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</si>
  <si>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</si>
  <si>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</si>
  <si>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</si>
  <si>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</si>
  <si>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</si>
  <si>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</si>
  <si>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</si>
  <si>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</si>
  <si>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</si>
  <si>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</si>
  <si>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</si>
  <si>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</si>
  <si>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</si>
  <si>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</si>
  <si>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</si>
  <si>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</si>
  <si>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</si>
  <si>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</si>
  <si>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</si>
  <si>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</si>
  <si>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</si>
  <si>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</si>
  <si>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</si>
  <si>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</si>
  <si>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</si>
  <si>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</si>
  <si>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</si>
  <si>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</si>
  <si>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</si>
  <si>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</si>
  <si>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</si>
  <si>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</si>
  <si>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</si>
  <si>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</si>
  <si>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</si>
  <si>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</si>
  <si>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</si>
  <si>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</si>
  <si>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</si>
  <si>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</si>
  <si>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</si>
  <si>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</si>
  <si>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</si>
  <si>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</si>
  <si>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</si>
  <si>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</si>
  <si>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</si>
  <si>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</si>
  <si>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</si>
  <si>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</si>
  <si>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</si>
  <si>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</si>
  <si>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</si>
  <si>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</si>
  <si>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</si>
  <si>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</si>
  <si>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</si>
  <si>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</si>
  <si>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</si>
  <si>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</si>
  <si>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</si>
  <si>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</si>
  <si>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</si>
  <si>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</si>
  <si>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</si>
  <si>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</si>
  <si>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</si>
  <si>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</si>
  <si>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</si>
  <si>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</si>
  <si>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</si>
  <si>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</si>
  <si>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</si>
  <si>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</si>
  <si>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</si>
  <si>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</si>
  <si>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</si>
  <si>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</si>
  <si>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</si>
  <si>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</si>
  <si>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</si>
  <si>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</si>
  <si>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</si>
  <si>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</si>
  <si>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</si>
  <si>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</si>
  <si>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</si>
  <si>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</si>
  <si>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</si>
  <si>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</si>
  <si>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</si>
  <si>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</si>
  <si>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</si>
  <si>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</si>
  <si>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</si>
  <si>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</si>
  <si>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</si>
  <si>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</si>
  <si>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</si>
  <si>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</si>
  <si>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</si>
  <si>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</si>
  <si>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</si>
  <si>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</si>
  <si>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</si>
  <si>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</si>
  <si>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</si>
  <si>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</si>
  <si>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</si>
  <si>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</si>
  <si>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</si>
  <si>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</si>
  <si>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</si>
  <si>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</si>
  <si>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</si>
  <si>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</si>
  <si>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</si>
  <si>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</si>
  <si>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</si>
  <si>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</si>
  <si>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</si>
  <si>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</si>
  <si>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</si>
  <si>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</si>
  <si>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</si>
  <si>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</si>
  <si>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</si>
  <si>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</si>
  <si>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</si>
  <si>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</si>
  <si>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</si>
  <si>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</si>
  <si>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</si>
  <si>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</si>
  <si>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</si>
  <si>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</si>
  <si>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</si>
  <si>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</si>
  <si>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</si>
  <si>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</si>
  <si>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</si>
  <si>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</si>
  <si>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</si>
  <si>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</si>
  <si>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</si>
  <si>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</si>
  <si>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</si>
  <si>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</si>
  <si>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</si>
  <si>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</si>
  <si>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</si>
  <si>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</si>
  <si>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</si>
  <si>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</si>
  <si>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</si>
  <si>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</si>
  <si>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</si>
  <si>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</si>
  <si>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</si>
  <si>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</si>
  <si>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</si>
  <si>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</si>
  <si>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</si>
  <si>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</si>
  <si>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</si>
  <si>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</si>
  <si>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</si>
  <si>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</si>
  <si>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</si>
  <si>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</si>
  <si>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</si>
  <si>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</si>
  <si>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</si>
  <si>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</si>
  <si>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</si>
  <si>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</si>
  <si>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</si>
  <si>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</si>
  <si>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</si>
  <si>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</si>
  <si>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</si>
  <si>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</si>
  <si>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</si>
  <si>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</si>
  <si>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</si>
  <si>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</si>
  <si>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</si>
  <si>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</si>
  <si>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</si>
  <si>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</si>
  <si>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</si>
  <si>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</si>
  <si>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</si>
  <si>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</si>
  <si>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</si>
  <si>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</si>
  <si>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</si>
  <si>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</si>
  <si>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</si>
  <si>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</si>
  <si>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</si>
  <si>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</si>
  <si>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</si>
  <si>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</si>
  <si>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</si>
  <si>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</si>
  <si>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</si>
  <si>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</si>
  <si>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</si>
  <si>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</si>
  <si>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</si>
  <si>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</si>
  <si>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</si>
  <si>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</si>
  <si>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</si>
  <si>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</si>
  <si>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</si>
  <si>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</si>
  <si>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</si>
  <si>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</si>
  <si>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</si>
  <si>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</si>
  <si>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</si>
  <si>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</si>
  <si>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</si>
  <si>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</si>
  <si>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</si>
  <si>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</si>
  <si>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</si>
  <si>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</si>
  <si>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</si>
  <si>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</si>
  <si>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</si>
  <si>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</si>
  <si>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</si>
  <si>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</si>
  <si>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</si>
  <si>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</si>
  <si>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</si>
  <si>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</si>
  <si>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</si>
  <si>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</si>
  <si>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</si>
  <si>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</si>
  <si>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</si>
  <si>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</si>
  <si>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</si>
  <si>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</si>
  <si>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</si>
  <si>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</si>
  <si>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</si>
  <si>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</si>
  <si>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</si>
  <si>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</si>
  <si>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</si>
  <si>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</si>
  <si>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</si>
  <si>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</si>
  <si>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</si>
  <si>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</si>
  <si>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</si>
  <si>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</si>
  <si>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</si>
  <si>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</si>
  <si>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</si>
  <si>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</si>
  <si>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</si>
  <si>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</si>
  <si>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</si>
  <si>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</si>
  <si>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</si>
  <si>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</si>
  <si>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</si>
  <si>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</si>
  <si>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</si>
  <si>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</si>
  <si>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</si>
  <si>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</si>
  <si>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</si>
  <si>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</si>
  <si>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</si>
  <si>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</si>
  <si>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</si>
  <si>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</si>
  <si>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</si>
  <si>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</si>
  <si>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</si>
  <si>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</si>
  <si>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</si>
  <si>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</si>
  <si>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</si>
  <si>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</si>
  <si>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</si>
  <si>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</si>
  <si>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</si>
  <si>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</si>
  <si>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</si>
  <si>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</si>
  <si>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</si>
  <si>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</si>
  <si>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</si>
  <si>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</si>
  <si>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</si>
  <si>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</si>
  <si>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</si>
  <si>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</si>
  <si>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</si>
  <si>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</si>
  <si>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</si>
  <si>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</si>
  <si>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</si>
  <si>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</si>
  <si>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</si>
  <si>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</si>
  <si>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</si>
  <si>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</si>
  <si>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</si>
  <si>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</si>
  <si>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</si>
  <si>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</si>
  <si>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</si>
  <si>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</si>
  <si>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</si>
  <si>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</si>
  <si>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</si>
  <si>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</si>
  <si>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</si>
  <si>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</si>
  <si>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</si>
  <si>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</si>
  <si>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</si>
  <si>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</si>
  <si>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</si>
  <si>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</si>
  <si>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</si>
  <si>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</si>
  <si>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</si>
  <si>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</si>
  <si>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</si>
  <si>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</si>
  <si>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</si>
  <si>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</si>
  <si>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</si>
  <si>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</si>
  <si>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</si>
  <si>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</si>
  <si>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</si>
  <si>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</si>
  <si>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</si>
  <si>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</si>
  <si>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</si>
  <si>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</si>
  <si>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</si>
  <si>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</si>
  <si>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</si>
  <si>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</si>
  <si>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</si>
  <si>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</si>
  <si>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</si>
  <si>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</si>
  <si>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</si>
  <si>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</si>
  <si>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</si>
  <si>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</si>
  <si>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</si>
  <si>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</si>
  <si>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</si>
  <si>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</si>
  <si>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</si>
  <si>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</si>
  <si>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</si>
  <si>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</si>
  <si>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</si>
  <si>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</si>
  <si>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</si>
  <si>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</si>
  <si>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</si>
  <si>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</si>
  <si>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</si>
  <si>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</si>
  <si>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</si>
  <si>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</si>
  <si>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</si>
  <si>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</si>
  <si>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</si>
  <si>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</si>
  <si>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</si>
  <si>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</si>
  <si>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</si>
  <si>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</si>
  <si>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</si>
  <si>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</si>
  <si>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</si>
  <si>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</si>
  <si>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</si>
  <si>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</si>
  <si>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</si>
  <si>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</si>
  <si>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</si>
  <si>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</si>
  <si>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</si>
  <si>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</si>
  <si>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</si>
  <si>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</si>
  <si>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</si>
  <si>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</si>
  <si>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</si>
  <si>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</si>
  <si>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</si>
  <si>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</si>
  <si>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</si>
  <si>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</si>
  <si>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</si>
  <si>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</si>
  <si>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</si>
  <si>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</si>
  <si>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</si>
  <si>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</si>
  <si>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</si>
  <si>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</si>
  <si>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</si>
  <si>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</si>
  <si>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</si>
  <si>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</si>
  <si>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</si>
  <si>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</si>
  <si>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</si>
  <si>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</si>
  <si>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</si>
  <si>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</si>
  <si>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</si>
  <si>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</si>
  <si>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</si>
  <si>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</si>
  <si>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</si>
  <si>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</si>
  <si>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</si>
  <si>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</si>
  <si>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</si>
  <si>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</si>
  <si>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</si>
  <si>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</si>
  <si>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</si>
  <si>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</si>
  <si>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</si>
  <si>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</si>
  <si>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</si>
  <si>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</si>
  <si>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</si>
  <si>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</si>
  <si>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</si>
  <si>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</si>
  <si>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</si>
  <si>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</si>
  <si>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</si>
  <si>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</si>
  <si>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</si>
  <si>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</si>
  <si>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</si>
  <si>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</si>
  <si>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</si>
  <si>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</si>
  <si>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</si>
  <si>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</si>
  <si>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</si>
  <si>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</si>
  <si>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</si>
  <si>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</si>
  <si>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</si>
  <si>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</si>
  <si>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</si>
  <si>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</si>
  <si>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</si>
  <si>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</si>
  <si>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</si>
  <si>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</si>
  <si>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</si>
  <si>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</si>
  <si>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</si>
  <si>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</si>
  <si>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</si>
  <si>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</si>
  <si>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</si>
  <si>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</si>
  <si>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</si>
  <si>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</si>
  <si>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</si>
  <si>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</si>
  <si>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</si>
  <si>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</si>
  <si>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</si>
  <si>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</si>
  <si>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</si>
  <si>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</si>
  <si>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</si>
  <si>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</si>
  <si>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</si>
  <si>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</si>
  <si>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</si>
  <si>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</si>
  <si>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</si>
  <si>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</si>
  <si>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</si>
  <si>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</si>
  <si>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</si>
  <si>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</si>
  <si>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</si>
  <si>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</si>
  <si>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</si>
  <si>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</si>
  <si>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</si>
  <si>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</si>
  <si>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</si>
  <si>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</si>
  <si>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</si>
  <si>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</si>
  <si>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</si>
  <si>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</si>
  <si>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</si>
  <si>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</si>
  <si>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</si>
  <si>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</si>
  <si>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</si>
  <si>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</si>
  <si>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</si>
  <si>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</si>
  <si>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</si>
  <si>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</si>
  <si>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</si>
  <si>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</si>
  <si>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</si>
  <si>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</si>
  <si>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</si>
  <si>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</si>
  <si>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</si>
  <si>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</si>
  <si>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</si>
  <si>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</si>
  <si>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</si>
  <si>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</si>
  <si>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</si>
  <si>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</si>
  <si>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</si>
  <si>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</si>
  <si>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</si>
  <si>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</si>
  <si>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</si>
  <si>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</si>
  <si>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</si>
  <si>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</si>
  <si>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</si>
  <si>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</si>
  <si>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</si>
  <si>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</si>
  <si>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</si>
  <si>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</si>
  <si>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</si>
  <si>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</si>
  <si>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</si>
  <si>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</si>
  <si>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</si>
  <si>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</si>
  <si>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</si>
  <si>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</si>
  <si>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</si>
  <si>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</si>
  <si>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</si>
  <si>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</si>
  <si>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</si>
  <si>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</si>
  <si>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</si>
  <si>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</si>
  <si>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</si>
  <si>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</si>
  <si>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</si>
  <si>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</si>
  <si>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</si>
  <si>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</si>
  <si>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</si>
  <si>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</si>
  <si>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</si>
  <si>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</si>
  <si>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</si>
  <si>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</si>
  <si>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</si>
  <si>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</si>
  <si>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</si>
  <si>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</si>
  <si>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</si>
  <si>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</si>
  <si>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</si>
  <si>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</si>
  <si>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</si>
  <si>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</si>
  <si>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</si>
  <si>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</si>
  <si>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</si>
  <si>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</si>
  <si>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</si>
  <si>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</si>
  <si>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</si>
  <si>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</si>
  <si>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</si>
  <si>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</si>
  <si>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</si>
  <si>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</si>
  <si>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</si>
  <si>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</si>
  <si>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</si>
  <si>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</si>
  <si>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</si>
  <si>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</si>
  <si>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</si>
  <si>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</si>
  <si>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</si>
  <si>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</si>
  <si>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</si>
  <si>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</si>
  <si>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</si>
  <si>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</si>
  <si>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</si>
  <si>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</si>
  <si>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</si>
  <si>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</si>
  <si>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</si>
  <si>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</si>
  <si>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</si>
  <si>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</si>
  <si>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</si>
  <si>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</si>
  <si>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</si>
  <si>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</si>
  <si>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</si>
  <si>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</si>
  <si>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</si>
  <si>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</si>
  <si>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</si>
  <si>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</si>
  <si>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</si>
  <si>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</si>
  <si>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</si>
  <si>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</si>
  <si>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</si>
  <si>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</si>
  <si>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</si>
  <si>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</si>
  <si>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</si>
  <si>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</si>
  <si>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</si>
  <si>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</si>
  <si>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</si>
  <si>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</si>
  <si>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</si>
  <si>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</si>
  <si>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</si>
  <si>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</si>
  <si>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</si>
  <si>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</si>
  <si>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</si>
  <si>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</si>
  <si>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</si>
  <si>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</si>
  <si>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</si>
  <si>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</si>
  <si>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</si>
  <si>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</si>
  <si>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</si>
  <si>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</si>
  <si>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</si>
  <si>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</si>
  <si>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</si>
  <si>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</si>
  <si>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</si>
  <si>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</si>
  <si>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</si>
  <si>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</si>
  <si>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</si>
  <si>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</si>
  <si>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</si>
  <si>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</si>
  <si>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</si>
  <si>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</si>
  <si>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</si>
  <si>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</si>
  <si>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</si>
  <si>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</si>
  <si>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</si>
  <si>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</si>
  <si>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</si>
  <si>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</si>
  <si>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</si>
  <si>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</si>
  <si>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</si>
  <si>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</si>
  <si>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</si>
  <si>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</si>
  <si>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</si>
  <si>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</si>
  <si>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</si>
  <si>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</si>
  <si>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</si>
  <si>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</si>
  <si>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</si>
  <si>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</si>
  <si>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</si>
  <si>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</si>
  <si>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</si>
  <si>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</si>
  <si>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</si>
  <si>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</si>
  <si>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</si>
  <si>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</si>
  <si>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</si>
  <si>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</si>
  <si>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</si>
  <si>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</si>
  <si>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</si>
  <si>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</si>
  <si>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</si>
  <si>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</si>
  <si>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</si>
  <si>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</si>
  <si>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</si>
  <si>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</si>
  <si>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</si>
  <si>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</si>
  <si>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</si>
  <si>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</si>
  <si>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</si>
  <si>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</si>
  <si>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</si>
  <si>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</si>
  <si>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</si>
  <si>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</si>
  <si>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</si>
  <si>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</si>
  <si>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</si>
  <si>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</si>
  <si>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</si>
  <si>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</si>
  <si>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</si>
  <si>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</si>
  <si>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</si>
  <si>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</si>
  <si>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</si>
  <si>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</si>
  <si>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</si>
  <si>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</si>
  <si>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</si>
  <si>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</si>
  <si>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</si>
  <si>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</si>
  <si>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</si>
  <si>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</si>
  <si>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</si>
  <si>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</si>
  <si>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</si>
  <si>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</si>
  <si>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</si>
  <si>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</si>
  <si>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</si>
  <si>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</si>
  <si>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</si>
  <si>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</si>
  <si>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</si>
  <si>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</si>
  <si>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</si>
  <si>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</si>
  <si>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</si>
  <si>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</si>
  <si>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</si>
  <si>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</si>
  <si>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</si>
  <si>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</si>
  <si>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</si>
  <si>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</si>
  <si>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</si>
  <si>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</si>
  <si>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</si>
  <si>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</si>
  <si>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</si>
  <si>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</si>
  <si>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</si>
  <si>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</si>
  <si>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</si>
  <si>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</si>
  <si>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</si>
  <si>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</si>
  <si>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</si>
  <si>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</si>
  <si>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</si>
  <si>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</si>
  <si>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</si>
  <si>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</si>
  <si>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</si>
  <si>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</si>
  <si>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</si>
  <si>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</si>
  <si>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</si>
  <si>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</si>
  <si>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</si>
  <si>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</si>
  <si>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</si>
  <si>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</si>
  <si>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</si>
  <si>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</si>
  <si>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</si>
  <si>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</si>
  <si>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</si>
  <si>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</si>
  <si>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</si>
  <si>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</si>
  <si>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</si>
  <si>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</si>
  <si>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</si>
  <si>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</si>
  <si>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</si>
  <si>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</si>
  <si>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</si>
  <si>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</si>
  <si>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</si>
  <si>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</si>
  <si>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</si>
  <si>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</si>
  <si>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</si>
  <si>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</si>
  <si>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</si>
  <si>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</si>
  <si>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</si>
  <si>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</si>
  <si>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</si>
  <si>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</si>
  <si>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</si>
  <si>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</si>
  <si>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</si>
  <si>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</si>
  <si>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</si>
  <si>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</si>
  <si>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</si>
  <si>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</si>
  <si>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</si>
  <si>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</si>
  <si>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</si>
  <si>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</si>
  <si>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</si>
  <si>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</si>
  <si>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</si>
  <si>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</si>
  <si>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</si>
  <si>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</si>
  <si>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</si>
  <si>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</si>
  <si>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</si>
  <si>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</si>
  <si>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</si>
  <si>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</si>
  <si>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</si>
  <si>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</si>
  <si>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</si>
  <si>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</si>
  <si>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</si>
  <si>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</si>
  <si>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</si>
  <si>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</si>
  <si>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</si>
  <si>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</si>
  <si>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</si>
  <si>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</si>
  <si>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</si>
  <si>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</si>
  <si>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</si>
  <si>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</si>
  <si>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</si>
  <si>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</si>
  <si>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</si>
  <si>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</si>
  <si>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</si>
  <si>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</si>
  <si>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</si>
  <si>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</si>
  <si>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</si>
  <si>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</si>
  <si>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</si>
  <si>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</si>
  <si>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</si>
  <si>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</si>
  <si>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</si>
  <si>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</si>
  <si>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</si>
  <si>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</si>
  <si>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</si>
  <si>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</si>
  <si>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</si>
  <si>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</si>
  <si>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</si>
  <si>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</si>
  <si>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</si>
  <si>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</si>
  <si>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</si>
  <si>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</si>
  <si>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</si>
  <si>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</si>
  <si>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</si>
  <si>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</si>
  <si>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</si>
  <si>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</si>
  <si>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</si>
  <si>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</si>
  <si>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</si>
  <si>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</si>
  <si>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</si>
  <si>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</si>
  <si>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</si>
  <si>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</si>
  <si>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</si>
  <si>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</si>
  <si>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</si>
  <si>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</si>
  <si>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</si>
  <si>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</si>
  <si>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</si>
  <si>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</si>
  <si>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</si>
  <si>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</si>
  <si>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</si>
  <si>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</si>
  <si>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</si>
  <si>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</si>
  <si>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</si>
  <si>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</si>
  <si>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</si>
  <si>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</si>
  <si>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</si>
  <si>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</si>
  <si>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</si>
  <si>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</si>
  <si>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</si>
  <si>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</si>
  <si>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</si>
  <si>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</si>
  <si>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</si>
  <si>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</si>
  <si>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</si>
  <si>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</si>
  <si>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</si>
  <si>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</si>
  <si>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</si>
  <si>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</si>
  <si>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</si>
  <si>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</si>
  <si>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</si>
  <si>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</si>
  <si>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</si>
  <si>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</si>
  <si>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</si>
  <si>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</si>
  <si>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</si>
  <si>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</si>
  <si>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</si>
  <si>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</si>
  <si>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</si>
  <si>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</si>
  <si>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</si>
  <si>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</si>
  <si>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</si>
  <si>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</si>
  <si>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</si>
  <si>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</si>
  <si>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</si>
  <si>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</si>
  <si>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</si>
  <si>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</si>
  <si>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</si>
  <si>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</si>
  <si>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</si>
  <si>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</si>
  <si>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</si>
  <si>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</si>
  <si>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</si>
  <si>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</si>
  <si>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</si>
  <si>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</si>
  <si>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</si>
  <si>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</si>
  <si>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</si>
  <si>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</si>
  <si>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</si>
  <si>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</si>
  <si>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</si>
  <si>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</si>
  <si>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</si>
  <si>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</si>
  <si>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</si>
  <si>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</si>
  <si>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</si>
  <si>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</si>
  <si>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</si>
  <si>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</si>
  <si>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</si>
  <si>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</si>
  <si>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</si>
  <si>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</si>
  <si>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</si>
  <si>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</si>
  <si>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</si>
  <si>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</si>
  <si>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</si>
  <si>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</si>
  <si>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</si>
  <si>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</si>
  <si>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</si>
  <si>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</si>
  <si>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</si>
  <si>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</si>
  <si>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</si>
  <si>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</si>
  <si>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</si>
  <si>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</si>
  <si>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</si>
  <si>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</si>
  <si>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</si>
  <si>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</si>
  <si>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</si>
  <si>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</si>
  <si>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</si>
  <si>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</si>
  <si>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</si>
  <si>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</si>
  <si>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</si>
  <si>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</si>
  <si>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</si>
  <si>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</si>
  <si>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</si>
  <si>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</si>
  <si>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</si>
  <si>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</si>
  <si>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</si>
  <si>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</si>
  <si>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</si>
  <si>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</si>
  <si>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</si>
  <si>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</si>
  <si>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</si>
  <si>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</si>
  <si>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</si>
  <si>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</si>
  <si>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</si>
  <si>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</si>
  <si>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</si>
  <si>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</si>
  <si>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</si>
  <si>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</si>
  <si>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</si>
  <si>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</si>
  <si>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</si>
  <si>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</si>
  <si>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</si>
  <si>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</si>
  <si>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</si>
  <si>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</si>
  <si>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</si>
  <si>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</si>
  <si>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</si>
  <si>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</si>
  <si>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</si>
  <si>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</si>
  <si>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</si>
  <si>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</si>
  <si>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</si>
  <si>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</si>
  <si>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</si>
  <si>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</si>
  <si>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</si>
  <si>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</si>
  <si>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</si>
  <si>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</si>
  <si>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</si>
  <si>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</si>
  <si>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</si>
  <si>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</si>
  <si>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</si>
  <si>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</si>
  <si>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</si>
  <si>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</si>
  <si>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</si>
  <si>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</si>
  <si>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</si>
  <si>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</si>
  <si>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</si>
  <si>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</si>
  <si>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</si>
  <si>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</si>
  <si>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</si>
  <si>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</si>
  <si>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</si>
  <si>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</si>
  <si>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</si>
  <si>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</si>
  <si>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</si>
  <si>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</si>
  <si>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</si>
  <si>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</si>
  <si>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</si>
  <si>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</si>
  <si>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</si>
  <si>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</si>
  <si>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</si>
  <si>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</si>
  <si>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</si>
  <si>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</si>
  <si>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</si>
  <si>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</si>
  <si>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</si>
  <si>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</si>
  <si>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</si>
  <si>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</si>
  <si>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</si>
  <si>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</si>
  <si>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</si>
  <si>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</si>
  <si>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</si>
  <si>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</si>
  <si>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</si>
  <si>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</si>
  <si>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</si>
  <si>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</si>
  <si>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</si>
  <si>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</si>
  <si>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</si>
  <si>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</si>
  <si>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</si>
  <si>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</si>
  <si>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</si>
  <si>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</si>
  <si>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</si>
  <si>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</si>
  <si>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</si>
  <si>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</si>
  <si>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</si>
  <si>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</si>
  <si>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</si>
  <si>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</si>
  <si>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</si>
  <si>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</si>
  <si>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</si>
  <si>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</si>
  <si>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</si>
  <si>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</si>
  <si>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</si>
  <si>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</si>
  <si>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</si>
  <si>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</si>
  <si>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</si>
  <si>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</si>
  <si>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</si>
  <si>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</si>
  <si>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</si>
  <si>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</si>
  <si>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</si>
  <si>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</si>
  <si>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</si>
  <si>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</si>
  <si>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</si>
  <si>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</si>
  <si>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</si>
  <si>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</si>
  <si>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</si>
  <si>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</si>
  <si>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</si>
  <si>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</si>
  <si>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</si>
  <si>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</si>
  <si>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</si>
  <si>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</si>
  <si>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</si>
  <si>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</si>
  <si>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</si>
  <si>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</si>
  <si>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</si>
  <si>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</si>
  <si>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</si>
  <si>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</si>
  <si>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</si>
  <si>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</si>
  <si>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</si>
  <si>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</si>
  <si>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</si>
  <si>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</si>
  <si>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</si>
  <si>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</si>
  <si>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</si>
  <si>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</si>
  <si>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</si>
  <si>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</si>
  <si>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</si>
  <si>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</si>
  <si>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</si>
  <si>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</si>
  <si>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</si>
  <si>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</si>
  <si>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</si>
  <si>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</si>
  <si>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</si>
  <si>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</si>
  <si>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</si>
  <si>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</si>
  <si>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</si>
  <si>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</si>
  <si>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</si>
  <si>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</si>
  <si>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</si>
  <si>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</si>
  <si>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</si>
  <si>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</si>
  <si>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</si>
  <si>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</si>
  <si>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</si>
  <si>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</si>
  <si>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</si>
  <si>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</si>
  <si>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</si>
  <si>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</si>
  <si>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</si>
  <si>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</si>
  <si>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</si>
  <si>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</si>
  <si>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</si>
  <si>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</si>
  <si>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</si>
  <si>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</si>
  <si>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</si>
  <si>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</si>
  <si>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</si>
  <si>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</si>
  <si>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</si>
  <si>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</si>
  <si>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</si>
  <si>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</si>
  <si>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</si>
  <si>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</si>
  <si>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</si>
  <si>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</si>
  <si>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</si>
  <si>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</si>
  <si>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</si>
  <si>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</si>
  <si>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</si>
  <si>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</si>
  <si>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</si>
  <si>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</si>
  <si>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</si>
  <si>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</si>
  <si>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</si>
  <si>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</si>
  <si>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</si>
  <si>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</si>
  <si>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</si>
  <si>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</si>
  <si>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</si>
  <si>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</si>
  <si>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</si>
  <si>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</si>
  <si>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</si>
  <si>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</si>
  <si>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</si>
  <si>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</si>
  <si>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</si>
  <si>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</si>
  <si>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</si>
  <si>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</si>
  <si>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</si>
  <si>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</si>
  <si>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</si>
  <si>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</si>
  <si>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</si>
  <si>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</si>
  <si>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</si>
  <si>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</si>
  <si>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</si>
  <si>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</si>
  <si>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</si>
  <si>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</si>
  <si>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</si>
  <si>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</si>
  <si>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</si>
  <si>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</si>
  <si>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</si>
  <si>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</si>
  <si>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</si>
  <si>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</si>
  <si>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</si>
  <si>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</si>
  <si>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</si>
  <si>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</si>
  <si>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</si>
  <si>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</si>
  <si>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</si>
  <si>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</si>
  <si>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</si>
  <si>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</si>
  <si>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</si>
  <si>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</si>
  <si>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</si>
  <si>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</si>
  <si>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</si>
  <si>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</si>
  <si>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</si>
  <si>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</si>
  <si>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</si>
  <si>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</si>
  <si>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</si>
  <si>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</si>
  <si>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</si>
  <si>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</si>
  <si>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</si>
  <si>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</si>
  <si>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</si>
  <si>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</si>
  <si>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</si>
  <si>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</si>
  <si>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</si>
  <si>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</si>
  <si>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</si>
  <si>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</si>
  <si>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</si>
  <si>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</si>
  <si>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</si>
  <si>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</si>
  <si>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</si>
  <si>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</si>
  <si>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</si>
  <si>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</si>
  <si>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</si>
  <si>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</si>
  <si>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</si>
  <si>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</si>
  <si>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</si>
  <si>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</si>
  <si>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</si>
  <si>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</si>
  <si>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</si>
  <si>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</si>
  <si>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</si>
  <si>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</si>
  <si>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</si>
  <si>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</si>
  <si>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</si>
  <si>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</si>
  <si>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</si>
  <si>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</si>
  <si>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</si>
  <si>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</si>
  <si>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</si>
  <si>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</si>
  <si>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</si>
  <si>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</si>
  <si>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</si>
  <si>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</si>
  <si>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</si>
  <si>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</si>
  <si>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</si>
  <si>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</si>
  <si>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</si>
  <si>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</si>
  <si>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</si>
  <si>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</si>
  <si>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</si>
  <si>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</si>
  <si>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</si>
  <si>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</si>
  <si>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</si>
  <si>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</si>
  <si>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</si>
  <si>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</si>
  <si>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</si>
  <si>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</si>
  <si>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</si>
  <si>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</si>
  <si>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</si>
  <si>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</si>
  <si>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</si>
  <si>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</si>
  <si>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</si>
  <si>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</si>
  <si>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</si>
  <si>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</si>
  <si>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</si>
  <si>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</si>
  <si>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</si>
  <si>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</si>
  <si>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</si>
  <si>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</si>
  <si>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</si>
  <si>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</si>
  <si>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</si>
  <si>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</si>
  <si>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</si>
  <si>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</si>
  <si>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</si>
  <si>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</si>
  <si>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</si>
  <si>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</si>
  <si>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</si>
  <si>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</si>
  <si>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</si>
  <si>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</si>
  <si>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</si>
  <si>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</si>
  <si>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</si>
  <si>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</si>
  <si>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</si>
  <si>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</si>
  <si>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</si>
  <si>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</si>
  <si>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</si>
  <si>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</si>
  <si>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</si>
  <si>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</si>
  <si>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</si>
  <si>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</si>
  <si>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</si>
  <si>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</si>
  <si>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</si>
  <si>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</si>
  <si>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</si>
  <si>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</si>
  <si>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</si>
  <si>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</si>
  <si>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</si>
  <si>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</si>
  <si>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</si>
  <si>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</si>
  <si>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</si>
  <si>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</si>
  <si>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</si>
  <si>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</si>
  <si>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</si>
  <si>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</si>
  <si>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</si>
  <si>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</si>
  <si>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</si>
  <si>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</si>
  <si>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</si>
  <si>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</si>
  <si>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</si>
  <si>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</si>
  <si>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</si>
  <si>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</si>
  <si>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</si>
  <si>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</si>
  <si>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</si>
  <si>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</si>
  <si>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</si>
  <si>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</si>
  <si>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</si>
  <si>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</si>
  <si>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</si>
  <si>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</si>
  <si>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</si>
  <si>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</si>
  <si>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</si>
  <si>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</si>
  <si>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</si>
  <si>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</si>
  <si>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</si>
  <si>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</si>
  <si>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</si>
  <si>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</si>
  <si>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</si>
  <si>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</si>
  <si>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</si>
  <si>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</si>
  <si>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</si>
  <si>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</si>
  <si>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</si>
  <si>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</si>
  <si>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</si>
  <si>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</si>
  <si>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</si>
  <si>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</si>
  <si>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</si>
  <si>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</si>
  <si>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</si>
  <si>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</si>
  <si>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</si>
  <si>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</si>
  <si>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</si>
  <si>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</si>
  <si>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</si>
  <si>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</si>
  <si>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</si>
  <si>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</si>
  <si>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</si>
  <si>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</si>
  <si>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</si>
  <si>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</si>
  <si>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</si>
  <si>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</si>
  <si>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</si>
  <si>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</si>
  <si>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</si>
  <si>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</si>
  <si>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</si>
  <si>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</si>
  <si>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</si>
  <si>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</si>
  <si>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</si>
  <si>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</si>
  <si>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</si>
  <si>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</si>
  <si>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</si>
  <si>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</si>
  <si>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</si>
  <si>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</si>
  <si>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</si>
  <si>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</si>
  <si>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</si>
  <si>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</si>
  <si>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</si>
  <si>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</si>
  <si>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</si>
  <si>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</si>
  <si>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</si>
  <si>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</si>
  <si>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</si>
  <si>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</si>
  <si>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</si>
  <si>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</si>
  <si>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</si>
  <si>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</si>
  <si>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</si>
  <si>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</si>
  <si>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</si>
  <si>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</si>
  <si>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</si>
  <si>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</si>
  <si>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</si>
  <si>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</si>
  <si>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</si>
  <si>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</si>
  <si>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</si>
  <si>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</si>
  <si>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</si>
  <si>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</si>
  <si>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</si>
  <si>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</si>
  <si>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</si>
  <si>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</si>
  <si>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</si>
  <si>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</si>
  <si>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</si>
  <si>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</si>
  <si>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</si>
  <si>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</si>
  <si>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</si>
  <si>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</si>
  <si>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</si>
  <si>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</si>
  <si>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</si>
  <si>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</si>
  <si>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</si>
  <si>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</si>
  <si>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</si>
  <si>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</si>
  <si>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</si>
  <si>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</si>
  <si>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</si>
  <si>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</si>
  <si>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</si>
  <si>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</si>
  <si>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</si>
  <si>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</si>
  <si>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</si>
  <si>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</si>
  <si>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</si>
  <si>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</si>
  <si>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</si>
  <si>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</si>
  <si>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</si>
  <si>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</si>
  <si>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</si>
  <si>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</si>
  <si>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</si>
  <si>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</si>
  <si>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</si>
  <si>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</si>
  <si>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</si>
  <si>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</si>
  <si>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</si>
  <si>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</si>
  <si>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</si>
  <si>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</si>
  <si>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</si>
  <si>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</si>
  <si>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</si>
  <si>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</si>
  <si>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</si>
  <si>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</si>
  <si>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</si>
  <si>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</si>
  <si>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</si>
  <si>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</si>
  <si>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</si>
  <si>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</si>
  <si>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</si>
  <si>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</si>
  <si>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</si>
  <si>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</si>
  <si>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</si>
  <si>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</si>
  <si>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</si>
  <si>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</si>
  <si>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</si>
  <si>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</si>
  <si>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</si>
  <si>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</si>
  <si>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</si>
  <si>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</si>
  <si>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</si>
  <si>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</si>
  <si>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</si>
  <si>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</si>
  <si>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</si>
  <si>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</si>
  <si>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</si>
  <si>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</si>
  <si>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</si>
  <si>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</si>
  <si>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</si>
  <si>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</si>
  <si>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</si>
  <si>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</si>
  <si>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</si>
  <si>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</si>
  <si>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</si>
  <si>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</si>
  <si>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</si>
  <si>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</si>
  <si>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</si>
  <si>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</si>
  <si>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</si>
  <si>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</si>
  <si>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</si>
  <si>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</si>
  <si>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</si>
  <si>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</si>
  <si>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</si>
  <si>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</si>
  <si>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</si>
  <si>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</si>
  <si>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</si>
  <si>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</si>
  <si>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</si>
  <si>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</si>
  <si>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</si>
  <si>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</si>
  <si>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</si>
  <si>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</si>
  <si>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</si>
  <si>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</si>
  <si>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</si>
  <si>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</si>
  <si>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</si>
  <si>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</si>
  <si>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</si>
  <si>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</si>
  <si>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</si>
  <si>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</si>
  <si>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</si>
  <si>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</si>
  <si>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</si>
  <si>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</si>
  <si>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</si>
  <si>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</si>
  <si>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</si>
  <si>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</si>
  <si>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</si>
  <si>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</si>
  <si>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</si>
  <si>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</si>
  <si>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</si>
  <si>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</si>
  <si>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</si>
  <si>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</si>
  <si>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</si>
  <si>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</si>
  <si>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</si>
  <si>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</si>
  <si>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</si>
  <si>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</si>
  <si>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</si>
  <si>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</si>
  <si>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</si>
  <si>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</si>
  <si>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</si>
  <si>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</si>
  <si>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</si>
  <si>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</si>
  <si>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</si>
  <si>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</si>
  <si>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</si>
  <si>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</si>
  <si>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</si>
  <si>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</si>
  <si>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</si>
  <si>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</si>
  <si>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</si>
  <si>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</si>
  <si>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</si>
  <si>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</si>
  <si>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</si>
  <si>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</si>
  <si>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</si>
  <si>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</si>
  <si>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</si>
  <si>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</si>
  <si>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</si>
  <si>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</si>
  <si>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</si>
  <si>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</si>
  <si>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</si>
  <si>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</si>
  <si>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</si>
  <si>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</si>
  <si>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</si>
  <si>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</si>
  <si>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</si>
  <si>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</si>
  <si>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</si>
  <si>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</si>
  <si>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</si>
  <si>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</si>
  <si>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</si>
  <si>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</si>
  <si>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</si>
  <si>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</si>
  <si>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</si>
  <si>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</si>
  <si>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</si>
  <si>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</si>
  <si>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</si>
  <si>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</si>
  <si>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</si>
  <si>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</si>
  <si>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</si>
  <si>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</si>
  <si>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</si>
  <si>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</si>
  <si>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</si>
  <si>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</si>
  <si>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</si>
  <si>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</si>
  <si>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</si>
  <si>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</si>
  <si>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</si>
  <si>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</si>
  <si>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</si>
  <si>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</si>
  <si>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</si>
  <si>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</si>
  <si>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</si>
  <si>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</si>
  <si>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</si>
  <si>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</si>
  <si>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</si>
  <si>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</si>
  <si>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</si>
  <si>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</si>
  <si>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</si>
  <si>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</si>
  <si>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</si>
  <si>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</si>
  <si>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</si>
  <si>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</si>
  <si>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</si>
  <si>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</si>
  <si>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</si>
  <si>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</si>
  <si>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</si>
  <si>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</si>
  <si>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</si>
  <si>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</si>
  <si>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</si>
  <si>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</si>
  <si>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</si>
  <si>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</si>
  <si>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</si>
  <si>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</si>
  <si>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</si>
  <si>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</si>
  <si>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</si>
  <si>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</si>
  <si>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</si>
  <si>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</si>
  <si>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</si>
  <si>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</si>
  <si>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</si>
  <si>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</si>
  <si>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</si>
  <si>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</si>
  <si>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</si>
  <si>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</si>
  <si>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</si>
  <si>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</si>
  <si>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</si>
  <si>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</si>
  <si>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</si>
  <si>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</si>
  <si>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</si>
  <si>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</si>
  <si>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</si>
  <si>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</si>
  <si>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</si>
  <si>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</si>
  <si>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</si>
  <si>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</si>
  <si>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</si>
  <si>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</si>
  <si>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</si>
  <si>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</si>
  <si>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</si>
  <si>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</si>
  <si>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</si>
  <si>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</si>
  <si>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</si>
  <si>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</si>
  <si>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</si>
  <si>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</si>
  <si>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</si>
  <si>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</si>
  <si>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</si>
  <si>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</si>
  <si>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</si>
  <si>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</si>
  <si>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</si>
  <si>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</si>
  <si>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</si>
  <si>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</si>
  <si>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</si>
  <si>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</si>
  <si>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</si>
  <si>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</si>
  <si>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</si>
  <si>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</si>
  <si>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</si>
  <si>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</si>
  <si>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</si>
  <si>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</si>
  <si>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</si>
  <si>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</si>
  <si>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</si>
  <si>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</si>
  <si>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</si>
  <si>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</si>
  <si>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</si>
  <si>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</si>
  <si>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</si>
  <si>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</si>
  <si>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</si>
  <si>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</si>
  <si>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</si>
  <si>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</si>
  <si>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</si>
  <si>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</si>
  <si>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</si>
  <si>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</si>
  <si>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</si>
  <si>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</si>
  <si>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</si>
  <si>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</si>
  <si>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</si>
  <si>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</si>
  <si>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</si>
  <si>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</si>
  <si>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</si>
  <si>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</si>
  <si>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</si>
  <si>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</si>
  <si>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</si>
  <si>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</si>
  <si>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</si>
  <si>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</si>
  <si>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</si>
  <si>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</si>
  <si>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</si>
  <si>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</si>
  <si>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</si>
  <si>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</si>
  <si>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</si>
  <si>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</si>
  <si>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</si>
  <si>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</si>
  <si>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</si>
  <si>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</si>
  <si>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</si>
  <si>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</si>
  <si>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</si>
  <si>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</si>
  <si>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</si>
  <si>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</si>
  <si>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</si>
  <si>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</si>
  <si>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</si>
  <si>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</si>
  <si>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</si>
  <si>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</si>
  <si>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</si>
  <si>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</si>
  <si>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</si>
  <si>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</si>
  <si>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</si>
  <si>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</si>
  <si>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</si>
  <si>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</si>
  <si>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</si>
  <si>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</si>
  <si>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</si>
  <si>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</si>
  <si>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</si>
  <si>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</si>
  <si>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</si>
  <si>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</si>
  <si>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</si>
  <si>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</si>
  <si>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</si>
  <si>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</si>
  <si>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</si>
  <si>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</si>
  <si>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</si>
  <si>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</si>
  <si>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</si>
  <si>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</si>
  <si>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</si>
  <si>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</si>
  <si>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</si>
  <si>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</si>
  <si>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</si>
  <si>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</si>
  <si>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</si>
  <si>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</si>
  <si>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</si>
  <si>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</si>
  <si>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</si>
  <si>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</si>
  <si>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</si>
  <si>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</si>
  <si>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</si>
  <si>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</si>
  <si>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</si>
  <si>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</si>
  <si>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</si>
  <si>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</si>
  <si>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</si>
  <si>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</si>
  <si>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</si>
  <si>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</si>
  <si>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</si>
  <si>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</si>
  <si>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</si>
  <si>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</si>
  <si>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</si>
  <si>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</si>
  <si>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</si>
  <si>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</si>
  <si>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</si>
  <si>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</si>
  <si>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</si>
  <si>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</si>
  <si>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</si>
  <si>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</si>
  <si>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</si>
  <si>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</si>
  <si>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</si>
  <si>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</si>
  <si>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</si>
  <si>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</si>
  <si>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</si>
  <si>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</si>
  <si>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</si>
  <si>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</si>
  <si>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</si>
  <si>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</si>
  <si>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</si>
  <si>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</si>
  <si>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</si>
  <si>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</si>
  <si>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</si>
  <si>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</si>
  <si>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</si>
  <si>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</si>
  <si>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</si>
  <si>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</si>
  <si>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</si>
  <si>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</si>
  <si>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</si>
  <si>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</si>
  <si>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</si>
  <si>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</si>
  <si>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</si>
  <si>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</si>
  <si>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</si>
  <si>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</si>
  <si>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</si>
  <si>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</si>
  <si>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</si>
  <si>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</si>
  <si>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</si>
  <si>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</si>
  <si>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</si>
  <si>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</si>
  <si>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</si>
  <si>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</si>
  <si>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</si>
  <si>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</si>
  <si>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</si>
  <si>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</si>
  <si>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</si>
  <si>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</si>
  <si>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</si>
  <si>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</si>
  <si>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</si>
  <si>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</si>
  <si>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</si>
  <si>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</si>
  <si>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</si>
  <si>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</si>
  <si>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</si>
  <si>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</si>
  <si>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</si>
  <si>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</si>
  <si>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</si>
  <si>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</si>
  <si>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</si>
  <si>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</si>
  <si>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</si>
  <si>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</si>
  <si>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</si>
  <si>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</si>
  <si>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</si>
  <si>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</si>
  <si>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</si>
  <si>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</si>
  <si>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</si>
  <si>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</si>
  <si>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</si>
  <si>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</si>
  <si>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</si>
  <si>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</si>
  <si>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</si>
  <si>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</si>
  <si>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</si>
  <si>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</si>
  <si>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</si>
  <si>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</si>
  <si>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</si>
  <si>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</si>
  <si>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</si>
  <si>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</si>
  <si>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</si>
  <si>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</si>
  <si>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</si>
  <si>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</si>
  <si>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</si>
  <si>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</si>
  <si>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</si>
  <si>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</si>
  <si>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</si>
  <si>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</si>
  <si>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</si>
  <si>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</si>
  <si>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</si>
  <si>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</si>
  <si>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</si>
  <si>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</si>
  <si>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</si>
  <si>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</si>
  <si>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</si>
  <si>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</si>
  <si>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</si>
  <si>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</si>
  <si>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</si>
  <si>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</si>
  <si>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</si>
  <si>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</si>
  <si>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</si>
  <si>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</si>
  <si>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</si>
  <si>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</si>
  <si>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</si>
  <si>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</si>
  <si>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</si>
  <si>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</si>
  <si>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</si>
  <si>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</si>
  <si>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</si>
  <si>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</si>
  <si>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</si>
  <si>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</si>
  <si>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</si>
  <si>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</si>
  <si>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</si>
  <si>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</si>
  <si>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</si>
  <si>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</si>
  <si>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</si>
  <si>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</si>
  <si>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</si>
  <si>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</si>
  <si>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</si>
  <si>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</si>
  <si>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</si>
  <si>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</si>
  <si>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</si>
  <si>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</si>
  <si>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</si>
  <si>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</si>
  <si>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</si>
  <si>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</si>
  <si>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</si>
  <si>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</si>
  <si>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</si>
  <si>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</si>
  <si>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</si>
  <si>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</si>
  <si>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</si>
  <si>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</si>
  <si>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</si>
  <si>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</si>
  <si>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</si>
  <si>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</si>
  <si>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</si>
  <si>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</si>
  <si>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</si>
  <si>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</si>
  <si>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</si>
  <si>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</si>
  <si>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</si>
  <si>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</si>
  <si>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</si>
  <si>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</si>
  <si>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</si>
  <si>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</si>
  <si>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</si>
  <si>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</si>
  <si>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</si>
  <si>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</si>
  <si>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</si>
  <si>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</si>
  <si>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</si>
  <si>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</si>
  <si>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</si>
  <si>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</si>
  <si>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</si>
  <si>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</si>
  <si>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</si>
  <si>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</si>
  <si>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</si>
  <si>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</si>
  <si>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</si>
  <si>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</si>
  <si>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</si>
  <si>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</si>
  <si>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</si>
  <si>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</si>
  <si>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</si>
  <si>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</si>
  <si>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</si>
  <si>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</si>
  <si>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</si>
  <si>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</si>
  <si>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</si>
  <si>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</si>
  <si>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</si>
  <si>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</si>
  <si>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</si>
  <si>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</si>
  <si>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</si>
  <si>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</si>
  <si>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</si>
  <si>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</si>
  <si>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</si>
  <si>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</si>
  <si>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</si>
  <si>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</si>
  <si>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</si>
  <si>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</si>
  <si>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</si>
  <si>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</si>
  <si>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</si>
  <si>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</si>
  <si>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</si>
  <si>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</si>
  <si>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</si>
  <si>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</si>
  <si>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</si>
  <si>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</si>
  <si>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</si>
  <si>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</si>
  <si>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</si>
  <si>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</si>
  <si>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</si>
  <si>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</si>
  <si>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</si>
  <si>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</si>
  <si>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</si>
  <si>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</si>
  <si>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</si>
  <si>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</si>
  <si>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</si>
  <si>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</si>
  <si>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</si>
  <si>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</si>
  <si>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</si>
  <si>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</si>
  <si>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</si>
  <si>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</si>
  <si>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</si>
  <si>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</si>
  <si>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</si>
  <si>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</si>
  <si>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</si>
  <si>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</si>
  <si>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</si>
  <si>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</si>
  <si>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</si>
  <si>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</si>
  <si>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</si>
  <si>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</si>
  <si>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</si>
  <si>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</si>
  <si>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</si>
  <si>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</si>
  <si>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</si>
  <si>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</si>
  <si>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</si>
  <si>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</si>
  <si>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</si>
  <si>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</si>
  <si>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</si>
  <si>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</si>
  <si>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</si>
  <si>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</si>
  <si>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</si>
  <si>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</si>
  <si>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</si>
  <si>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</si>
  <si>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</si>
  <si>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</si>
  <si>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</si>
  <si>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</si>
  <si>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</si>
  <si>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</si>
  <si>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</si>
  <si>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</si>
  <si>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</si>
  <si>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</si>
  <si>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</si>
  <si>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</si>
  <si>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</si>
  <si>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</si>
  <si>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</si>
  <si>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</si>
  <si>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</si>
  <si>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</si>
  <si>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</si>
  <si>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</si>
  <si>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</si>
  <si>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</si>
  <si>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</si>
  <si>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</si>
  <si>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</si>
  <si>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</si>
  <si>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</si>
  <si>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</si>
  <si>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</si>
  <si>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</si>
  <si>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</si>
  <si>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</si>
  <si>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</si>
  <si>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</si>
  <si>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</si>
  <si>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</si>
  <si>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</si>
  <si>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</si>
  <si>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</si>
  <si>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</si>
  <si>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</si>
  <si>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</si>
  <si>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</si>
  <si>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</si>
  <si>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</si>
  <si>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</si>
  <si>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</si>
  <si>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</si>
  <si>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</si>
  <si>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</si>
  <si>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</si>
  <si>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</si>
  <si>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</si>
  <si>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</si>
  <si>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</si>
  <si>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</si>
  <si>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</si>
  <si>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</si>
  <si>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</si>
  <si>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</si>
  <si>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</si>
  <si>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</si>
  <si>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</si>
  <si>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</si>
  <si>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</si>
  <si>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</si>
  <si>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</si>
  <si>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</si>
  <si>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</si>
  <si>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</si>
  <si>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</si>
  <si>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</si>
  <si>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</si>
  <si>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</si>
  <si>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</si>
  <si>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</si>
  <si>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</si>
  <si>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</si>
  <si>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</si>
  <si>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</si>
  <si>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</si>
  <si>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</si>
  <si>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</si>
  <si>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</si>
  <si>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</si>
  <si>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</si>
  <si>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</si>
  <si>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</si>
  <si>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</si>
  <si>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</si>
  <si>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</si>
  <si>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</si>
  <si>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</si>
  <si>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</si>
  <si>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</si>
  <si>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</si>
  <si>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</si>
  <si>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</si>
  <si>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</si>
  <si>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</si>
  <si>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</si>
  <si>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</si>
  <si>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</si>
  <si>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</si>
  <si>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</si>
  <si>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</si>
  <si>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</si>
  <si>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</si>
  <si>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</si>
  <si>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</si>
  <si>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</si>
  <si>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</si>
  <si>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</si>
  <si>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</si>
  <si>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</si>
  <si>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</si>
  <si>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</si>
  <si>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</si>
  <si>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</si>
  <si>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</si>
  <si>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</si>
  <si>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</si>
  <si>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</si>
  <si>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</si>
  <si>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</si>
  <si>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</si>
  <si>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</si>
  <si>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</si>
  <si>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</si>
  <si>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</si>
  <si>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</si>
  <si>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</si>
  <si>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</si>
  <si>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</si>
  <si>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</si>
  <si>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</si>
  <si>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</si>
  <si>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</si>
  <si>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</si>
  <si>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</si>
  <si>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</si>
  <si>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</si>
  <si>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</si>
  <si>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</si>
  <si>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</si>
  <si>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</si>
  <si>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</si>
  <si>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</si>
  <si>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</si>
  <si>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</si>
  <si>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</si>
  <si>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</si>
  <si>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</si>
  <si>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</si>
  <si>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</si>
  <si>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</si>
  <si>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</si>
  <si>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</si>
  <si>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</si>
  <si>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</si>
  <si>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</si>
  <si>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</si>
  <si>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</si>
  <si>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</si>
  <si>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</si>
  <si>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</si>
  <si>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</si>
  <si>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</si>
  <si>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</si>
  <si>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</si>
  <si>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</si>
  <si>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</si>
  <si>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</si>
  <si>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</si>
  <si>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</si>
  <si>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</si>
  <si>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</si>
  <si>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</si>
  <si>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</si>
  <si>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</si>
  <si>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</si>
  <si>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</si>
  <si>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</si>
  <si>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</si>
  <si>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</si>
  <si>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</si>
  <si>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</si>
  <si>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</si>
  <si>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</si>
  <si>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</si>
  <si>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</si>
  <si>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</si>
  <si>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</si>
  <si>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</si>
  <si>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</si>
  <si>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</si>
  <si>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</si>
  <si>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</si>
  <si>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</si>
  <si>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</si>
  <si>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</si>
  <si>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</si>
  <si>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</si>
  <si>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</si>
  <si>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</si>
  <si>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</si>
  <si>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</si>
  <si>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</si>
  <si>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</si>
  <si>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</si>
  <si>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</si>
  <si>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</si>
  <si>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</si>
  <si>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</si>
  <si>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</si>
  <si>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</si>
  <si>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</si>
  <si>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</si>
  <si>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</si>
  <si>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</si>
  <si>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</si>
  <si>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</si>
  <si>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</si>
  <si>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</si>
  <si>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</si>
  <si>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</si>
  <si>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</si>
  <si>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</si>
  <si>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</si>
  <si>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</si>
  <si>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</si>
  <si>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</si>
  <si>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</si>
  <si>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</si>
  <si>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</si>
  <si>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</si>
  <si>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</si>
  <si>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</si>
  <si>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</si>
  <si>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</si>
  <si>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</si>
  <si>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</si>
  <si>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</si>
  <si>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</si>
  <si>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</si>
  <si>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</si>
  <si>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</si>
  <si>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</si>
  <si>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</si>
  <si>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</si>
  <si>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</si>
  <si>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</si>
  <si>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</si>
  <si>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</si>
  <si>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</si>
  <si>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</si>
  <si>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</si>
  <si>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</si>
  <si>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</si>
  <si>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</si>
  <si>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</si>
  <si>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</si>
  <si>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</si>
  <si>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</si>
  <si>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</si>
  <si>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</si>
  <si>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</si>
  <si>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</si>
  <si>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</si>
  <si>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</si>
  <si>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</si>
  <si>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</si>
  <si>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</si>
  <si>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</si>
  <si>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</si>
  <si>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</si>
  <si>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</si>
  <si>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</si>
  <si>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</si>
  <si>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</si>
  <si>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</si>
  <si>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</si>
  <si>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</si>
  <si>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</si>
  <si>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</si>
  <si>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</si>
  <si>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</si>
  <si>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</si>
  <si>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</si>
  <si>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</si>
  <si>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</si>
  <si>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</si>
  <si>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</si>
  <si>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</si>
  <si>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</si>
  <si>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</si>
  <si>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</si>
  <si>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</si>
  <si>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</si>
  <si>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</si>
  <si>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</si>
  <si>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</si>
  <si>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</si>
  <si>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</si>
  <si>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</si>
  <si>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</si>
  <si>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</si>
  <si>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</si>
  <si>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</si>
  <si>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</si>
  <si>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</si>
  <si>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</si>
  <si>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</si>
  <si>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</si>
  <si>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</si>
  <si>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</si>
  <si>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</si>
  <si>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</si>
  <si>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</si>
  <si>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</si>
  <si>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</si>
  <si>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</si>
  <si>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</si>
  <si>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</si>
  <si>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</si>
  <si>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</si>
  <si>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</si>
  <si>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</si>
  <si>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</si>
  <si>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</si>
  <si>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</si>
  <si>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</si>
  <si>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</si>
  <si>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</si>
  <si>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</si>
  <si>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</si>
  <si>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</si>
  <si>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</si>
  <si>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</si>
  <si>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</si>
  <si>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</si>
  <si>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</si>
  <si>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</si>
  <si>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</si>
  <si>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</si>
  <si>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</si>
  <si>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</si>
  <si>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</si>
  <si>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</si>
  <si>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</si>
  <si>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</si>
  <si>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</si>
  <si>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</si>
  <si>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</si>
  <si>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</si>
  <si>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</si>
  <si>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</si>
  <si>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</si>
  <si>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</si>
  <si>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</si>
  <si>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</si>
  <si>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</si>
  <si>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</si>
  <si>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</si>
  <si>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</si>
  <si>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</si>
  <si>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</si>
  <si>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</si>
  <si>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</si>
  <si>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</si>
  <si>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</si>
  <si>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</si>
  <si>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</si>
  <si>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</si>
  <si>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</si>
  <si>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</si>
  <si>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</si>
  <si>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</si>
  <si>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</si>
  <si>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</si>
  <si>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</si>
  <si>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</si>
  <si>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</si>
  <si>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</si>
  <si>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</si>
  <si>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</si>
  <si>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</si>
  <si>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</si>
  <si>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</si>
  <si>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</si>
  <si>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</si>
  <si>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</si>
  <si>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</si>
  <si>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</si>
  <si>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</si>
  <si>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</si>
  <si>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</si>
  <si>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</si>
  <si>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</si>
  <si>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</si>
  <si>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</si>
  <si>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</si>
  <si>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</si>
  <si>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</si>
  <si>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</si>
  <si>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</si>
  <si>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</si>
  <si>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</si>
  <si>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</si>
  <si>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</si>
  <si>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</si>
  <si>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</si>
  <si>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</si>
  <si>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</si>
  <si>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</si>
  <si>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</si>
  <si>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</si>
  <si>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</si>
  <si>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</si>
  <si>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</si>
  <si>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</si>
  <si>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</si>
  <si>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</si>
  <si>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</si>
  <si>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</si>
  <si>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</si>
  <si>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</si>
  <si>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</si>
  <si>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</si>
  <si>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</si>
  <si>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</si>
  <si>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</si>
  <si>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</si>
  <si>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</si>
  <si>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</si>
  <si>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</si>
  <si>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</si>
  <si>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</si>
  <si>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</si>
  <si>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</si>
  <si>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</si>
  <si>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</si>
  <si>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</si>
  <si>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</si>
  <si>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</si>
  <si>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</si>
  <si>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</si>
  <si>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</si>
  <si>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</si>
  <si>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</si>
  <si>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</si>
  <si>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</si>
  <si>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</si>
  <si>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</si>
  <si>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</si>
  <si>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</si>
  <si>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</si>
  <si>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</si>
  <si>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</si>
  <si>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</si>
  <si>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</si>
  <si>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</si>
  <si>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</si>
  <si>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</si>
  <si>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</si>
  <si>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</si>
  <si>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</si>
  <si>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</si>
  <si>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</si>
  <si>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</si>
  <si>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</si>
  <si>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</si>
  <si>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</si>
  <si>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</si>
  <si>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</si>
  <si>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</si>
  <si>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</si>
  <si>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</si>
  <si>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</si>
  <si>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</si>
  <si>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</si>
  <si>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</si>
  <si>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</si>
  <si>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</si>
  <si>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</si>
  <si>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</si>
  <si>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</si>
  <si>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</si>
  <si>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</si>
  <si>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</si>
  <si>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</si>
  <si>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</si>
  <si>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</si>
  <si>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</si>
  <si>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</si>
  <si>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</si>
  <si>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</si>
  <si>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</si>
  <si>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</si>
  <si>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</si>
  <si>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</si>
  <si>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</si>
  <si>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</si>
  <si>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</si>
  <si>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</si>
  <si>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</si>
  <si>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</si>
  <si>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</si>
  <si>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</si>
  <si>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</si>
  <si>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</si>
  <si>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</si>
  <si>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</si>
  <si>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</si>
  <si>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</si>
  <si>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</si>
  <si>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</si>
  <si>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</si>
  <si>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</si>
  <si>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</si>
  <si>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</si>
  <si>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</si>
  <si>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</si>
  <si>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</si>
  <si>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</si>
  <si>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</si>
  <si>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</si>
  <si>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</si>
  <si>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</si>
  <si>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</si>
  <si>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</si>
  <si>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</si>
  <si>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</si>
  <si>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</si>
  <si>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</si>
  <si>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</si>
  <si>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</si>
  <si>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</si>
  <si>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</si>
  <si>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</si>
  <si>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</si>
  <si>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</si>
  <si>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</si>
  <si>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</si>
  <si>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</si>
  <si>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</si>
  <si>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</si>
  <si>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</si>
  <si>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</si>
  <si>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</si>
  <si>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</si>
  <si>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</si>
  <si>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</si>
  <si>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</si>
  <si>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</si>
  <si>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</si>
  <si>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</si>
  <si>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</si>
  <si>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</si>
  <si>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</si>
  <si>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</si>
  <si>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</si>
  <si>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</si>
  <si>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</si>
  <si>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</si>
  <si>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</si>
  <si>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</si>
  <si>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</si>
  <si>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</si>
  <si>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</si>
  <si>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</si>
  <si>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</si>
  <si>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</si>
  <si>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</si>
  <si>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</si>
  <si>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</si>
  <si>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</si>
  <si>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</si>
  <si>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</si>
  <si>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</si>
  <si>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</si>
  <si>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</si>
  <si>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</si>
  <si>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</si>
  <si>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</si>
  <si>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</si>
  <si>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</si>
  <si>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</si>
  <si>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</si>
  <si>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</si>
  <si>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</si>
  <si>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</si>
  <si>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</si>
  <si>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</si>
  <si>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</si>
  <si>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</si>
  <si>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</si>
  <si>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</si>
  <si>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</si>
  <si>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</si>
  <si>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</si>
  <si>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</si>
  <si>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</si>
  <si>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</si>
  <si>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</si>
  <si>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</si>
  <si>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</si>
  <si>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</si>
  <si>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</si>
  <si>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</si>
  <si>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</si>
  <si>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</si>
  <si>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</si>
  <si>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</si>
  <si>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</si>
  <si>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</si>
  <si>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</si>
  <si>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</si>
  <si>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</si>
  <si>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</si>
  <si>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</si>
  <si>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</si>
  <si>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</si>
  <si>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</si>
  <si>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</si>
  <si>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</si>
  <si>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</si>
  <si>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</si>
  <si>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</si>
  <si>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</si>
  <si>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</si>
  <si>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</si>
  <si>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</si>
  <si>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</si>
  <si>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</si>
  <si>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</si>
  <si>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</si>
  <si>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</si>
  <si>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</si>
  <si>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</si>
  <si>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</si>
  <si>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</si>
  <si>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</si>
  <si>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</si>
  <si>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</si>
  <si>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</si>
  <si>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</si>
  <si>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</si>
  <si>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</si>
  <si>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</si>
  <si>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</si>
  <si>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</si>
  <si>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</si>
  <si>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</si>
  <si>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</si>
  <si>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</si>
  <si>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</si>
  <si>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</si>
  <si>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</si>
  <si>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</si>
  <si>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</si>
  <si>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</si>
  <si>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</si>
  <si>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</si>
  <si>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</si>
  <si>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</si>
  <si>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</si>
  <si>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</si>
  <si>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</si>
  <si>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</si>
  <si>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</si>
  <si>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</si>
  <si>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</si>
  <si>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</si>
  <si>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</si>
  <si>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</si>
  <si>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</si>
  <si>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</si>
  <si>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</si>
  <si>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</si>
  <si>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</si>
  <si>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</si>
  <si>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</si>
  <si>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</si>
  <si>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</si>
  <si>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</si>
  <si>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</si>
  <si>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</si>
  <si>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</si>
  <si>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</si>
  <si>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</si>
  <si>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</si>
  <si>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</si>
  <si>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</si>
  <si>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</si>
  <si>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</si>
  <si>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</si>
  <si>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</si>
  <si>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</si>
  <si>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</si>
  <si>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</si>
  <si>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</si>
  <si>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</si>
  <si>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</si>
  <si>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</si>
  <si>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</si>
  <si>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</si>
  <si>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</si>
  <si>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</si>
  <si>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</si>
  <si>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</si>
  <si>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</si>
  <si>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</si>
  <si>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</si>
  <si>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</si>
  <si>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</si>
  <si>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</si>
  <si>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</si>
  <si>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</si>
  <si>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</si>
  <si>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</si>
  <si>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</si>
  <si>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</si>
  <si>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</si>
  <si>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</si>
  <si>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</si>
  <si>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</si>
  <si>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</si>
  <si>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</si>
  <si>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</si>
  <si>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</si>
  <si>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</si>
  <si>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</si>
  <si>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</si>
  <si>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</si>
  <si>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</si>
  <si>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</si>
  <si>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</si>
  <si>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</si>
  <si>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</si>
  <si>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</si>
  <si>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</si>
  <si>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</si>
  <si>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</si>
  <si>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</si>
  <si>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</si>
  <si>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</si>
  <si>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</si>
  <si>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</si>
  <si>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</si>
  <si>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</si>
  <si>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</si>
  <si>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</si>
  <si>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</si>
  <si>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</si>
  <si>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</si>
  <si>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</si>
  <si>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</si>
  <si>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</si>
  <si>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</si>
  <si>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</si>
  <si>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</si>
  <si>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</si>
  <si>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</si>
  <si>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</si>
  <si>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</si>
  <si>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</si>
  <si>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</si>
  <si>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</si>
  <si>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</si>
  <si>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</si>
  <si>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</si>
  <si>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</si>
  <si>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</si>
  <si>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</si>
  <si>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</si>
  <si>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</si>
  <si>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</si>
  <si>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</si>
  <si>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</si>
  <si>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</si>
  <si>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</si>
  <si>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</si>
  <si>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</si>
  <si>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</si>
  <si>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</si>
  <si>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</si>
  <si>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</si>
  <si>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</si>
  <si>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</si>
  <si>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</si>
  <si>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</si>
  <si>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</si>
  <si>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</si>
  <si>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</si>
  <si>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</si>
  <si>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</si>
  <si>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</si>
  <si>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</si>
  <si>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</si>
  <si>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</si>
  <si>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</si>
  <si>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</si>
  <si>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</si>
  <si>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</si>
  <si>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</si>
  <si>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</si>
  <si>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</si>
  <si>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</si>
  <si>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</si>
  <si>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</si>
  <si>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</si>
  <si>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</si>
  <si>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</si>
  <si>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</si>
  <si>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</si>
  <si>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</si>
  <si>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</si>
  <si>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</si>
  <si>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</si>
  <si>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</si>
  <si>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</si>
  <si>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</si>
  <si>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</si>
  <si>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</si>
  <si>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</si>
  <si>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</si>
  <si>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</si>
  <si>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</si>
  <si>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</si>
  <si>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</si>
  <si>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</si>
  <si>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</si>
  <si>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</si>
  <si>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</si>
  <si>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</si>
  <si>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</si>
  <si>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</si>
  <si>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</si>
  <si>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</si>
  <si>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</si>
  <si>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</si>
  <si>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</si>
  <si>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</si>
  <si>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</si>
  <si>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</si>
  <si>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</si>
  <si>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</si>
  <si>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</si>
  <si>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</si>
  <si>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</si>
  <si>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</si>
  <si>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</si>
  <si>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</si>
  <si>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</si>
  <si>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</si>
  <si>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</si>
  <si>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</si>
  <si>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</si>
  <si>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</si>
  <si>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</si>
  <si>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</si>
  <si>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</si>
  <si>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</si>
  <si>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</si>
  <si>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</si>
  <si>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</si>
  <si>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</si>
  <si>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</si>
  <si>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</si>
  <si>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</si>
  <si>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</si>
  <si>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</si>
  <si>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</si>
  <si>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</si>
  <si>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</si>
  <si>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</si>
  <si>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</si>
  <si>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</si>
  <si>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</si>
  <si>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</si>
  <si>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</si>
  <si>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</si>
  <si>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</si>
  <si>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</si>
  <si>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</si>
  <si>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</si>
  <si>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</si>
  <si>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</si>
  <si>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</si>
  <si>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</si>
  <si>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</si>
  <si>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</si>
  <si>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</si>
  <si>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</si>
  <si>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</si>
  <si>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</si>
  <si>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</si>
  <si>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</si>
  <si>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</si>
  <si>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</si>
  <si>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</si>
  <si>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</si>
  <si>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</si>
  <si>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</si>
  <si>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</si>
  <si>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</si>
  <si>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</si>
  <si>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</si>
  <si>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</si>
  <si>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</si>
  <si>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</si>
  <si>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</si>
  <si>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</si>
  <si>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</si>
  <si>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</si>
  <si>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</si>
  <si>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</si>
  <si>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</si>
  <si>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</si>
  <si>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</si>
  <si>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</si>
  <si>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</si>
  <si>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</si>
  <si>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</si>
  <si>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</si>
  <si>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</si>
  <si>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</si>
  <si>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</si>
  <si>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</si>
  <si>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</si>
  <si>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</si>
  <si>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</si>
  <si>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</si>
  <si>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</si>
  <si>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</si>
  <si>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</si>
  <si>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</si>
  <si>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</si>
  <si>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</si>
  <si>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</si>
  <si>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</si>
  <si>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</si>
  <si>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</si>
  <si>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</si>
  <si>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</si>
  <si>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</si>
  <si>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</si>
  <si>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</si>
  <si>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</si>
  <si>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</si>
  <si>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</si>
  <si>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</si>
  <si>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</si>
  <si>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</si>
  <si>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</si>
  <si>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</si>
  <si>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</si>
  <si>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</si>
  <si>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</si>
  <si>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</si>
  <si>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</si>
  <si>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</si>
  <si>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</si>
  <si>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</si>
  <si>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</si>
  <si>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</si>
  <si>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</si>
  <si>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</si>
  <si>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</si>
  <si>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</si>
  <si>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</si>
  <si>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</si>
  <si>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</si>
  <si>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</si>
  <si>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</si>
  <si>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</si>
  <si>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</si>
  <si>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</si>
  <si>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</si>
  <si>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</si>
  <si>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</si>
  <si>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</si>
  <si>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</si>
  <si>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</si>
  <si>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</si>
  <si>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</si>
  <si>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</si>
  <si>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</si>
  <si>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</si>
  <si>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</si>
  <si>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</si>
  <si>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</si>
  <si>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</si>
  <si>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</si>
  <si>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</si>
  <si>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</si>
  <si>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</si>
  <si>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</si>
  <si>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</si>
  <si>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</si>
  <si>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</si>
  <si>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</si>
  <si>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</si>
  <si>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</si>
  <si>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</si>
  <si>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</si>
  <si>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</si>
  <si>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</si>
  <si>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</si>
  <si>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</si>
  <si>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</si>
  <si>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</si>
  <si>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</si>
  <si>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</si>
  <si>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</si>
  <si>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</si>
  <si>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</si>
  <si>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</si>
  <si>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</si>
  <si>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</si>
  <si>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</si>
  <si>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</si>
  <si>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</si>
  <si>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</si>
  <si>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</si>
  <si>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</si>
  <si>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</si>
  <si>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</si>
  <si>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</si>
  <si>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</si>
  <si>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</si>
  <si>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</si>
  <si>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</si>
  <si>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</si>
  <si>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</si>
  <si>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</si>
  <si>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</si>
  <si>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</si>
  <si>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</si>
  <si>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</si>
  <si>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</si>
  <si>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</si>
  <si>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</si>
  <si>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</si>
  <si>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</si>
  <si>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</si>
  <si>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</si>
  <si>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</si>
  <si>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</si>
  <si>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</si>
  <si>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</si>
  <si>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</si>
  <si>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</si>
  <si>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</si>
  <si>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</si>
  <si>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</si>
  <si>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</si>
  <si>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</si>
  <si>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</si>
  <si>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</si>
  <si>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</si>
  <si>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</si>
  <si>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</si>
  <si>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</si>
  <si>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</si>
  <si>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</si>
  <si>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</si>
  <si>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</si>
  <si>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</si>
  <si>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</si>
  <si>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</si>
  <si>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</si>
  <si>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</si>
  <si>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</si>
  <si>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</si>
  <si>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</si>
  <si>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</si>
  <si>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</si>
  <si>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</si>
  <si>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</si>
  <si>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</si>
  <si>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</si>
  <si>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</si>
  <si>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</si>
  <si>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</si>
  <si>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</si>
  <si>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</si>
  <si>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</si>
  <si>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</si>
  <si>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</si>
  <si>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</si>
  <si>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</si>
  <si>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</si>
  <si>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</si>
  <si>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</si>
  <si>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</si>
  <si>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</si>
  <si>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</si>
  <si>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</si>
  <si>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</si>
  <si>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</si>
  <si>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</si>
  <si>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</si>
  <si>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</si>
  <si>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</si>
  <si>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</si>
  <si>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</si>
  <si>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</si>
  <si>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</si>
  <si>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</si>
  <si>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</si>
  <si>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</si>
  <si>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</si>
  <si>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</si>
  <si>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</si>
  <si>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</si>
  <si>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</si>
  <si>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</si>
  <si>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</si>
  <si>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</si>
  <si>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</si>
  <si>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</si>
  <si>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</si>
  <si>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</si>
  <si>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</si>
  <si>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</si>
  <si>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</si>
  <si>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</si>
  <si>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</si>
  <si>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</si>
  <si>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</si>
  <si>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</si>
  <si>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</si>
  <si>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</si>
  <si>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</si>
  <si>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</si>
  <si>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</si>
  <si>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</si>
  <si>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</si>
  <si>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</si>
  <si>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</si>
  <si>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</si>
  <si>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</si>
  <si>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</si>
  <si>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</si>
  <si>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</si>
  <si>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</si>
  <si>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</si>
  <si>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</si>
  <si>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</si>
  <si>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</si>
  <si>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</si>
  <si>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</si>
  <si>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</si>
  <si>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</si>
  <si>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</si>
  <si>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</si>
  <si>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</si>
  <si>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</si>
  <si>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</si>
  <si>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</si>
  <si>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</si>
  <si>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</si>
  <si>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</si>
  <si>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</si>
  <si>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</si>
  <si>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</si>
  <si>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</si>
  <si>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</si>
  <si>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</si>
  <si>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</si>
  <si>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</si>
  <si>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</si>
  <si>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</si>
  <si>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</si>
  <si>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</si>
  <si>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</si>
  <si>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</si>
  <si>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</si>
  <si>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</si>
  <si>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</si>
  <si>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</si>
  <si>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</si>
  <si>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</si>
  <si>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</si>
  <si>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</si>
  <si>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</si>
  <si>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</si>
  <si>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</si>
  <si>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</si>
  <si>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</si>
  <si>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</si>
  <si>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</si>
  <si>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</si>
  <si>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</si>
  <si>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</si>
  <si>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</si>
  <si>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</si>
  <si>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</si>
  <si>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</si>
  <si>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</si>
  <si>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</si>
  <si>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</si>
  <si>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</si>
  <si>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</si>
  <si>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</si>
  <si>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</si>
  <si>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</si>
  <si>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</si>
  <si>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</si>
  <si>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</si>
  <si>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</si>
  <si>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</si>
  <si>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</si>
  <si>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</si>
  <si>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</si>
  <si>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</si>
  <si>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</si>
  <si>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</si>
  <si>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</si>
  <si>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</si>
  <si>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</si>
  <si>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</si>
  <si>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</si>
  <si>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</si>
  <si>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</si>
  <si>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</si>
  <si>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</si>
  <si>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</si>
  <si>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</si>
  <si>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</si>
  <si>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</si>
  <si>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</si>
  <si>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</si>
  <si>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</si>
  <si>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</si>
  <si>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</si>
  <si>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</si>
  <si>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</si>
  <si>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</si>
  <si>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</si>
  <si>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</si>
  <si>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</si>
  <si>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</si>
  <si>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</si>
  <si>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</si>
  <si>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</si>
  <si>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</si>
  <si>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</si>
  <si>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</si>
  <si>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</si>
  <si>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</si>
  <si>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</si>
  <si>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</si>
  <si>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</si>
  <si>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</si>
  <si>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</si>
  <si>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</si>
  <si>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</si>
  <si>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</si>
  <si>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</si>
  <si>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</si>
  <si>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</si>
  <si>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</si>
  <si>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</si>
  <si>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</si>
  <si>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</si>
  <si>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</si>
  <si>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</si>
  <si>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</si>
  <si>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</si>
  <si>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</si>
  <si>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</si>
  <si>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</si>
  <si>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</si>
  <si>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</si>
  <si>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</si>
  <si>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</si>
  <si>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</si>
  <si>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</si>
  <si>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</si>
  <si>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</si>
  <si>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</si>
  <si>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</si>
  <si>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</si>
  <si>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</si>
  <si>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</si>
  <si>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</si>
  <si>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</si>
  <si>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</si>
  <si>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</si>
  <si>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</si>
  <si>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</si>
  <si>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</si>
  <si>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</si>
  <si>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</si>
  <si>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</si>
  <si>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</si>
  <si>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</si>
  <si>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</si>
  <si>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</si>
  <si>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</si>
  <si>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</si>
  <si>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</si>
  <si>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</si>
  <si>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</si>
  <si>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</si>
  <si>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</si>
  <si>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</si>
  <si>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</si>
  <si>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</si>
  <si>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</si>
  <si>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</si>
  <si>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</si>
  <si>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</si>
  <si>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</si>
  <si>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</si>
  <si>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</si>
  <si>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</si>
  <si>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</si>
  <si>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</si>
  <si>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</si>
  <si>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</si>
  <si>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</si>
  <si>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</si>
  <si>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</si>
  <si>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</si>
  <si>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</si>
  <si>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</si>
  <si>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</si>
  <si>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</si>
  <si>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</si>
  <si>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</si>
  <si>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</si>
  <si>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</si>
  <si>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</si>
  <si>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</si>
  <si>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</si>
  <si>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</si>
  <si>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</si>
  <si>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</si>
  <si>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</si>
  <si>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</si>
  <si>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</si>
  <si>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</si>
  <si>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</si>
  <si>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</si>
  <si>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</si>
  <si>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</si>
  <si>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</si>
  <si>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</si>
  <si>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</si>
  <si>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</si>
  <si>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</si>
  <si>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</si>
  <si>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</si>
  <si>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</si>
  <si>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</si>
  <si>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</si>
  <si>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</si>
  <si>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</si>
  <si>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</si>
  <si>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</si>
  <si>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</si>
  <si>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</si>
  <si>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</si>
  <si>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</si>
  <si>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</si>
  <si>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</si>
  <si>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</si>
  <si>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</si>
  <si>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</si>
  <si>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</si>
  <si>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</si>
  <si>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</si>
  <si>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</si>
  <si>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</si>
  <si>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</si>
  <si>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</si>
  <si>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</si>
  <si>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</si>
  <si>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</si>
  <si>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</si>
  <si>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</si>
  <si>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</si>
  <si>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</si>
  <si>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</si>
  <si>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</si>
  <si>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</si>
  <si>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</si>
  <si>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</si>
  <si>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</si>
  <si>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</si>
  <si>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</si>
  <si>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</si>
  <si>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</si>
  <si>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</si>
  <si>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</si>
  <si>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</si>
  <si>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</si>
  <si>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</si>
  <si>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</si>
  <si>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</si>
  <si>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</si>
  <si>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</si>
  <si>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</si>
  <si>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</si>
  <si>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</si>
  <si>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</si>
  <si>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</si>
  <si>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</si>
  <si>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</si>
  <si>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</si>
  <si>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</si>
  <si>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</si>
  <si>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</si>
  <si>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</si>
  <si>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</si>
  <si>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</si>
  <si>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</si>
  <si>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</si>
  <si>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</si>
  <si>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</si>
  <si>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</si>
  <si>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</si>
  <si>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</si>
  <si>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</si>
  <si>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</si>
  <si>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</si>
  <si>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</si>
  <si>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</si>
  <si>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</si>
  <si>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</si>
  <si>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</si>
  <si>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</si>
  <si>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</si>
  <si>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</si>
  <si>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</si>
  <si>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</si>
  <si>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</si>
  <si>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</si>
  <si>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</si>
  <si>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</si>
  <si>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</si>
  <si>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</si>
  <si>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</si>
  <si>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</si>
  <si>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</si>
  <si>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</si>
  <si>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</si>
  <si>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</si>
  <si>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</si>
  <si>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</si>
  <si>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</si>
  <si>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</si>
  <si>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</si>
  <si>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</si>
  <si>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</si>
  <si>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</si>
  <si>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</si>
  <si>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</si>
  <si>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</si>
  <si>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</si>
  <si>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</si>
  <si>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</si>
  <si>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</si>
  <si>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</si>
  <si>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</si>
  <si>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</si>
  <si>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</si>
  <si>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</si>
  <si>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</si>
  <si>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</si>
  <si>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</si>
  <si>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</si>
  <si>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</si>
  <si>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</si>
  <si>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</si>
  <si>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</si>
  <si>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</si>
  <si>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</si>
  <si>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</si>
  <si>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</si>
  <si>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</si>
  <si>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</si>
  <si>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</si>
  <si>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</si>
  <si>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</si>
  <si>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</si>
  <si>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</si>
  <si>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</si>
  <si>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</si>
  <si>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</si>
  <si>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</si>
  <si>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</si>
  <si>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</si>
  <si>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</si>
  <si>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</si>
  <si>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</si>
  <si>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</si>
  <si>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</si>
  <si>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</si>
  <si>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</si>
  <si>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</si>
  <si>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</si>
  <si>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</si>
  <si>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</si>
  <si>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</si>
  <si>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</si>
  <si>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</si>
  <si>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</si>
  <si>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</si>
  <si>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</si>
  <si>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</si>
  <si>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</si>
  <si>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</si>
  <si>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</si>
  <si>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</si>
  <si>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</si>
  <si>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</si>
  <si>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</si>
  <si>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</si>
  <si>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</si>
  <si>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</si>
  <si>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</si>
  <si>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</si>
  <si>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</si>
  <si>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</si>
  <si>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</si>
  <si>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</si>
  <si>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</si>
  <si>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</si>
  <si>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</si>
  <si>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</si>
  <si>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</si>
  <si>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</si>
  <si>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</si>
  <si>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</si>
  <si>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</si>
  <si>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</si>
  <si>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</si>
  <si>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</si>
  <si>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</si>
  <si>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</si>
  <si>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</si>
  <si>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</si>
  <si>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</si>
  <si>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</si>
  <si>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</si>
  <si>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</si>
  <si>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</si>
  <si>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</si>
  <si>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</si>
  <si>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</si>
  <si>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</si>
  <si>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</si>
  <si>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</si>
  <si>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</si>
  <si>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</si>
  <si>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</si>
  <si>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</si>
  <si>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</si>
  <si>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</si>
  <si>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</si>
  <si>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</si>
  <si>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</si>
  <si>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</si>
  <si>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</si>
  <si>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</si>
  <si>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</si>
  <si>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</si>
  <si>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</si>
  <si>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</si>
  <si>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</si>
  <si>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</si>
  <si>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</si>
  <si>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</si>
  <si>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</si>
  <si>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</si>
  <si>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</si>
  <si>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</si>
  <si>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</si>
  <si>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</si>
  <si>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</si>
  <si>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</si>
  <si>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</si>
  <si>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</si>
  <si>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</si>
  <si>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</si>
  <si>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</si>
  <si>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</si>
  <si>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</si>
  <si>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</si>
  <si>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</si>
  <si>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</si>
  <si>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</si>
  <si>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</si>
  <si>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</si>
  <si>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</si>
  <si>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</si>
  <si>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</si>
  <si>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</si>
  <si>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</si>
  <si>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</si>
  <si>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</si>
  <si>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</si>
  <si>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</si>
  <si>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</si>
  <si>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</si>
  <si>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</si>
  <si>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</si>
  <si>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</si>
  <si>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</si>
  <si>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</si>
  <si>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</si>
  <si>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</si>
  <si>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</si>
  <si>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</si>
  <si>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</si>
  <si>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</si>
  <si>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</si>
  <si>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</si>
  <si>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</si>
  <si>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</si>
  <si>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</si>
  <si>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</si>
  <si>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</si>
  <si>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</si>
  <si>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</si>
  <si>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</si>
  <si>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</si>
  <si>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</si>
  <si>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</si>
  <si>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</si>
  <si>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</si>
  <si>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</si>
  <si>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</si>
  <si>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</si>
  <si>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</si>
  <si>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</si>
  <si>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</si>
  <si>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</si>
  <si>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</si>
  <si>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</si>
  <si>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</si>
  <si>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</si>
  <si>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</si>
  <si>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</si>
  <si>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</si>
  <si>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</si>
  <si>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</si>
  <si>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</si>
  <si>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</si>
  <si>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</si>
  <si>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</si>
  <si>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</si>
  <si>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</si>
  <si>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</si>
  <si>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</si>
  <si>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</si>
  <si>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</si>
  <si>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</si>
  <si>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</si>
  <si>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</si>
  <si>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</si>
  <si>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</si>
  <si>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</si>
  <si>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</si>
  <si>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</si>
  <si>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</si>
  <si>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</si>
  <si>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</si>
  <si>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</si>
  <si>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</si>
  <si>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</si>
  <si>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</si>
  <si>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</si>
  <si>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</si>
  <si>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</si>
  <si>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</si>
  <si>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</si>
  <si>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</si>
  <si>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</si>
  <si>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</si>
  <si>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</si>
  <si>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</si>
  <si>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</si>
  <si>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</si>
  <si>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</si>
  <si>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</si>
  <si>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</si>
  <si>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</si>
  <si>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</si>
  <si>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</si>
  <si>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</si>
  <si>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</si>
  <si>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</si>
  <si>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</si>
  <si>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</si>
  <si>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</si>
  <si>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</si>
  <si>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</si>
  <si>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</si>
  <si>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</si>
  <si>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</si>
  <si>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</si>
  <si>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</si>
  <si>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</si>
  <si>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</si>
  <si>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</si>
  <si>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</si>
  <si>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</si>
  <si>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</si>
  <si>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</si>
  <si>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</si>
  <si>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</si>
  <si>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</si>
  <si>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</si>
  <si>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</si>
  <si>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</si>
  <si>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</si>
  <si>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</si>
  <si>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</si>
  <si>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</si>
  <si>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</si>
  <si>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</si>
  <si>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</si>
  <si>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</si>
  <si>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</si>
  <si>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</si>
  <si>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</si>
  <si>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</si>
  <si>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</si>
  <si>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</si>
  <si>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</si>
  <si>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</si>
  <si>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</si>
  <si>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</si>
  <si>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</si>
  <si>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</si>
  <si>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</si>
  <si>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</si>
  <si>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</si>
  <si>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</si>
  <si>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</si>
  <si>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</si>
  <si>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</si>
  <si>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</si>
  <si>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</si>
  <si>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</si>
  <si>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</si>
  <si>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</si>
  <si>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</si>
  <si>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</si>
  <si>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</si>
  <si>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</si>
  <si>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</si>
  <si>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</si>
  <si>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</si>
  <si>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</si>
  <si>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</si>
  <si>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</si>
  <si>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</si>
  <si>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</si>
  <si>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</si>
  <si>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</si>
  <si>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</si>
  <si>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</si>
  <si>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</si>
  <si>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</si>
  <si>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</si>
  <si>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</si>
  <si>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</si>
  <si>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</si>
  <si>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</si>
  <si>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</si>
  <si>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</si>
  <si>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</si>
  <si>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</si>
  <si>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</si>
  <si>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</si>
  <si>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</si>
  <si>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</si>
  <si>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</si>
  <si>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</si>
  <si>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</si>
  <si>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</si>
  <si>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</si>
  <si>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</si>
  <si>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</si>
  <si>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</si>
  <si>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</si>
  <si>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</si>
  <si>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</si>
  <si>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</si>
  <si>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</si>
  <si>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</si>
  <si>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</si>
  <si>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</si>
  <si>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</si>
  <si>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</si>
  <si>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</si>
  <si>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</si>
  <si>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</si>
  <si>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</si>
  <si>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</si>
  <si>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</si>
  <si>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</si>
  <si>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</si>
  <si>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</si>
  <si>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</si>
  <si>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</si>
  <si>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</si>
  <si>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</si>
  <si>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</si>
  <si>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</si>
  <si>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</si>
  <si>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</si>
  <si>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</si>
  <si>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</si>
  <si>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</si>
  <si>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</si>
  <si>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</si>
  <si>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</si>
  <si>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</si>
  <si>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</si>
  <si>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</si>
  <si>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</si>
  <si>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</si>
  <si>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</si>
  <si>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</si>
  <si>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</si>
  <si>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</si>
  <si>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</si>
  <si>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</si>
  <si>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</si>
  <si>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</si>
  <si>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</si>
  <si>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</si>
  <si>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</si>
  <si>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</si>
  <si>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</si>
  <si>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</si>
  <si>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</si>
  <si>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</si>
  <si>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</si>
  <si>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</si>
  <si>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</si>
  <si>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</si>
  <si>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</si>
  <si>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</si>
  <si>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</si>
  <si>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</si>
  <si>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</si>
  <si>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</si>
  <si>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</si>
  <si>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</si>
  <si>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</si>
  <si>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</si>
  <si>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</si>
  <si>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</si>
  <si>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</si>
  <si>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</si>
  <si>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</si>
  <si>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</si>
  <si>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</si>
  <si>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</si>
  <si>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</si>
  <si>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</si>
  <si>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</si>
  <si>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</si>
  <si>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</si>
  <si>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</si>
  <si>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</si>
  <si>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</si>
  <si>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</si>
  <si>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</si>
  <si>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</si>
  <si>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</si>
  <si>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</si>
  <si>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</si>
  <si>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</si>
  <si>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</si>
  <si>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</si>
  <si>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</si>
  <si>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</si>
  <si>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</si>
  <si>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</si>
  <si>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</si>
  <si>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</si>
  <si>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</si>
  <si>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</si>
  <si>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</si>
  <si>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</si>
  <si>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</si>
  <si>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</si>
  <si>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</si>
  <si>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</si>
  <si>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</si>
  <si>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</si>
  <si>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</si>
  <si>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</si>
  <si>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</si>
  <si>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</si>
  <si>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</si>
  <si>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</si>
  <si>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</si>
  <si>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</si>
  <si>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</si>
  <si>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</si>
  <si>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</si>
  <si>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</si>
  <si>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</si>
  <si>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</si>
  <si>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</si>
  <si>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</si>
  <si>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</si>
  <si>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</si>
  <si>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</si>
  <si>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</si>
  <si>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</si>
  <si>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</si>
  <si>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</si>
  <si>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</si>
  <si>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</si>
  <si>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</si>
  <si>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</si>
  <si>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</si>
  <si>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</si>
  <si>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</si>
  <si>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</si>
  <si>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</si>
  <si>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</si>
  <si>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</si>
  <si>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</si>
  <si>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</si>
  <si>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</si>
  <si>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</si>
  <si>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</si>
  <si>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</si>
  <si>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</si>
  <si>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</si>
  <si>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</si>
  <si>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</si>
  <si>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</si>
  <si>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</si>
  <si>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</si>
  <si>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</si>
  <si>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</si>
  <si>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</si>
  <si>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</si>
  <si>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</si>
  <si>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</si>
  <si>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</si>
  <si>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</si>
  <si>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</si>
  <si>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</si>
  <si>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</si>
  <si>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</si>
  <si>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</si>
  <si>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</si>
  <si>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</si>
  <si>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</si>
  <si>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</si>
  <si>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</si>
  <si>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</si>
  <si>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</si>
  <si>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</si>
  <si>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</si>
  <si>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</si>
  <si>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</si>
  <si>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</si>
  <si>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</si>
  <si>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</si>
  <si>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</si>
  <si>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</si>
  <si>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</si>
  <si>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</si>
  <si>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</si>
  <si>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</si>
  <si>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</si>
  <si>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</si>
  <si>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</si>
  <si>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</si>
  <si>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</si>
  <si>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</si>
  <si>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</si>
  <si>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</si>
  <si>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</si>
  <si>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</si>
  <si>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</si>
  <si>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</si>
  <si>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</si>
  <si>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</si>
  <si>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</si>
  <si>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</si>
  <si>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</si>
  <si>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</si>
  <si>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</si>
  <si>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</si>
  <si>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</si>
  <si>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</si>
  <si>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</si>
  <si>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</si>
  <si>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</si>
  <si>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</si>
  <si>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</si>
  <si>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</si>
  <si>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</si>
  <si>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</si>
  <si>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</si>
  <si>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</si>
  <si>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</si>
  <si>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</si>
  <si>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</si>
  <si>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</si>
  <si>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</si>
  <si>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</si>
  <si>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</si>
  <si>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</si>
  <si>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</si>
  <si>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</si>
  <si>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</si>
  <si>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</si>
  <si>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</si>
  <si>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</si>
  <si>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</si>
  <si>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</si>
  <si>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</si>
  <si>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</si>
  <si>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</si>
  <si>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</si>
  <si>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</si>
  <si>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</si>
  <si>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</si>
  <si>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</si>
  <si>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</si>
  <si>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</si>
  <si>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</si>
  <si>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</si>
  <si>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</si>
  <si>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</si>
  <si>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</si>
  <si>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</si>
  <si>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</si>
  <si>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</si>
  <si>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</si>
  <si>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</si>
  <si>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</si>
  <si>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</si>
  <si>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</si>
  <si>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</si>
  <si>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</si>
  <si>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</si>
  <si>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</si>
  <si>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</si>
  <si>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</si>
  <si>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</si>
  <si>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</si>
  <si>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</si>
  <si>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</si>
  <si>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</si>
  <si>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</si>
  <si>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</si>
  <si>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</si>
  <si>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</si>
  <si>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</si>
  <si>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</si>
  <si>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</si>
  <si>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</si>
  <si>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</si>
  <si>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</si>
  <si>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</si>
  <si>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</si>
  <si>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</si>
  <si>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</si>
  <si>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</si>
  <si>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</si>
  <si>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</si>
  <si>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</si>
  <si>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</si>
  <si>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</si>
  <si>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</si>
  <si>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</si>
  <si>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</si>
  <si>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</si>
  <si>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</si>
  <si>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</si>
  <si>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</si>
  <si>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</si>
  <si>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</si>
  <si>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</si>
  <si>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</si>
  <si>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</si>
  <si>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</si>
  <si>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</si>
  <si>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</si>
  <si>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</si>
  <si>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</si>
  <si>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</si>
  <si>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</si>
  <si>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</si>
  <si>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</si>
  <si>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</si>
  <si>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</si>
  <si>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</si>
  <si>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</si>
  <si>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</si>
  <si>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</si>
  <si>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</si>
  <si>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</si>
  <si>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</si>
  <si>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</si>
  <si>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</si>
  <si>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</si>
  <si>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</si>
  <si>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</si>
  <si>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</si>
  <si>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</si>
  <si>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</si>
  <si>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</si>
  <si>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</si>
  <si>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</si>
  <si>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</si>
  <si>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</si>
  <si>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</si>
  <si>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</si>
  <si>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</si>
  <si>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</si>
  <si>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</si>
  <si>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</si>
  <si>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</si>
  <si>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</si>
  <si>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</si>
  <si>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</si>
  <si>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</si>
  <si>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</si>
  <si>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</si>
  <si>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</si>
  <si>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</si>
  <si>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</si>
  <si>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</si>
  <si>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</si>
  <si>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</si>
  <si>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</si>
  <si>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</si>
  <si>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</si>
  <si>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</si>
  <si>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</si>
  <si>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</si>
  <si>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</si>
  <si>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</si>
  <si>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</si>
  <si>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</si>
  <si>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</si>
  <si>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</si>
  <si>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</si>
  <si>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</si>
  <si>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</si>
  <si>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</si>
  <si>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</si>
  <si>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</si>
  <si>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</si>
  <si>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</si>
  <si>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</si>
  <si>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</si>
  <si>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</si>
  <si>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</si>
  <si>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</si>
  <si>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</si>
  <si>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</si>
  <si>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</si>
  <si>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</si>
  <si>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</si>
  <si>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</si>
  <si>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</si>
  <si>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</si>
  <si>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</si>
  <si>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</si>
  <si>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</si>
  <si>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</si>
  <si>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</si>
  <si>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</si>
  <si>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</si>
  <si>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</si>
  <si>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</si>
  <si>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</si>
  <si>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</si>
  <si>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</si>
  <si>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</si>
  <si>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</si>
  <si>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</si>
  <si>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</si>
  <si>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</si>
  <si>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</si>
  <si>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</si>
  <si>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</si>
  <si>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</si>
  <si>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</si>
  <si>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</si>
  <si>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</si>
  <si>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</si>
  <si>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</si>
  <si>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</si>
  <si>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</si>
  <si>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</si>
  <si>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</si>
  <si>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</si>
  <si>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</si>
  <si>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</si>
  <si>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</si>
  <si>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</si>
  <si>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</si>
  <si>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</si>
  <si>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</si>
  <si>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</si>
  <si>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</si>
  <si>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</si>
  <si>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</si>
  <si>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</si>
  <si>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</si>
  <si>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</si>
  <si>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</si>
  <si>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</si>
  <si>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</si>
  <si>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</si>
  <si>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</si>
  <si>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</si>
  <si>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</si>
  <si>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</si>
  <si>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</si>
  <si>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</si>
  <si>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</si>
  <si>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</si>
  <si>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</si>
  <si>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</si>
  <si>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</si>
  <si>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</si>
  <si>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</si>
  <si>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</si>
  <si>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</si>
  <si>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</si>
  <si>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</si>
  <si>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</si>
  <si>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</si>
  <si>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</si>
  <si>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</si>
  <si>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</si>
  <si>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</si>
  <si>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</si>
  <si>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</si>
  <si>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</si>
  <si>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</si>
  <si>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</si>
  <si>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</si>
  <si>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</si>
  <si>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</si>
  <si>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</si>
  <si>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</si>
  <si>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</si>
  <si>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</si>
  <si>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</si>
  <si>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</si>
  <si>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</si>
  <si>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</si>
  <si>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</si>
  <si>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</si>
  <si>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</si>
  <si>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</si>
  <si>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</si>
  <si>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</si>
  <si>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</si>
  <si>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</si>
  <si>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</si>
  <si>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</si>
  <si>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</si>
  <si>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</si>
  <si>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</si>
  <si>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</si>
  <si>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</si>
  <si>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</si>
  <si>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</si>
  <si>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</si>
  <si>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</si>
  <si>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</si>
  <si>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</si>
  <si>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</si>
  <si>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</si>
  <si>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</si>
  <si>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</si>
  <si>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</si>
  <si>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</si>
  <si>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</si>
  <si>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</si>
  <si>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</si>
  <si>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</si>
  <si>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</si>
  <si>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</si>
  <si>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</si>
  <si>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</si>
  <si>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</si>
  <si>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</si>
  <si>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</si>
  <si>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</si>
  <si>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</si>
  <si>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</si>
  <si>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</si>
  <si>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</si>
  <si>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</si>
  <si>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</si>
  <si>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</si>
  <si>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</si>
  <si>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</si>
  <si>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</si>
  <si>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</si>
  <si>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</si>
  <si>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</si>
  <si>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</si>
  <si>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</si>
  <si>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</si>
  <si>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</si>
  <si>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</si>
  <si>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</si>
  <si>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</si>
  <si>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</si>
  <si>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</si>
  <si>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</si>
  <si>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</si>
  <si>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</si>
  <si>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</si>
  <si>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</si>
  <si>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</si>
  <si>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</si>
  <si>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</si>
  <si>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</si>
  <si>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</si>
  <si>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</si>
  <si>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</si>
  <si>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</si>
  <si>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</si>
  <si>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</si>
  <si>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</si>
  <si>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</si>
  <si>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</si>
  <si>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</si>
  <si>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</si>
  <si>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</si>
  <si>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</si>
  <si>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</si>
  <si>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</si>
  <si>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</si>
  <si>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</si>
  <si>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</si>
  <si>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</si>
  <si>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</si>
  <si>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</si>
  <si>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</si>
  <si>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</si>
  <si>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</si>
  <si>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</si>
  <si>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</si>
  <si>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</si>
  <si>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</si>
  <si>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</si>
  <si>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</si>
  <si>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</si>
  <si>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</si>
  <si>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</si>
  <si>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</si>
  <si>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</si>
  <si>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</si>
  <si>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</si>
  <si>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</si>
  <si>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</si>
  <si>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</si>
  <si>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</si>
  <si>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</si>
  <si>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</si>
  <si>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</si>
  <si>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</si>
  <si>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</si>
  <si>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</si>
  <si>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</si>
  <si>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</si>
  <si>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</si>
  <si>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</si>
  <si>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</si>
  <si>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</si>
  <si>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</si>
  <si>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</si>
  <si>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</si>
  <si>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</si>
  <si>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</si>
  <si>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</si>
  <si>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</si>
  <si>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</si>
  <si>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</si>
  <si>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</si>
  <si>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</si>
  <si>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</si>
  <si>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</si>
  <si>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</si>
  <si>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</si>
  <si>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</si>
  <si>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</si>
  <si>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</si>
  <si>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</si>
  <si>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</si>
  <si>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</si>
  <si>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</si>
  <si>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</si>
  <si>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</si>
  <si>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</si>
  <si>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</si>
  <si>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</si>
  <si>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</si>
  <si>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</si>
  <si>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</si>
  <si>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</si>
  <si>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</si>
  <si>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</si>
  <si>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</si>
  <si>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</si>
  <si>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</si>
  <si>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</si>
  <si>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</si>
  <si>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</si>
  <si>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</si>
  <si>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</si>
  <si>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</si>
  <si>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</si>
  <si>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</si>
  <si>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</si>
  <si>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</si>
  <si>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</si>
  <si>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</si>
  <si>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</si>
  <si>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</si>
  <si>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</si>
  <si>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</si>
  <si>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</si>
  <si>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</si>
  <si>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</si>
  <si>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</si>
  <si>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</si>
  <si>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</si>
  <si>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</si>
  <si>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</si>
  <si>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</si>
  <si>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</si>
  <si>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</si>
  <si>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</si>
  <si>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</si>
  <si>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</si>
  <si>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</si>
  <si>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</si>
  <si>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</si>
  <si>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</si>
  <si>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</si>
  <si>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</si>
  <si>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</si>
  <si>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</si>
  <si>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</si>
  <si>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</si>
  <si>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</si>
  <si>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</si>
  <si>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</si>
  <si>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</si>
  <si>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</si>
  <si>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</si>
  <si>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</si>
  <si>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</si>
  <si>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</si>
  <si>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</si>
  <si>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</si>
  <si>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</si>
  <si>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</si>
  <si>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</si>
  <si>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</si>
  <si>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</si>
  <si>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</si>
  <si>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</si>
  <si>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</si>
  <si>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</si>
  <si>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</si>
  <si>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</si>
  <si>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</si>
  <si>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</si>
  <si>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</si>
  <si>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</si>
  <si>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</si>
  <si>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</si>
  <si>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</si>
  <si>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</si>
  <si>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</si>
  <si>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</si>
  <si>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</si>
  <si>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</si>
  <si>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</si>
  <si>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</si>
  <si>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</si>
  <si>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</si>
  <si>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</si>
  <si>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</si>
  <si>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</si>
  <si>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</si>
  <si>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</si>
  <si>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</si>
  <si>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</si>
  <si>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</si>
  <si>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</si>
  <si>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</si>
  <si>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</si>
  <si>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</si>
  <si>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</si>
  <si>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</si>
  <si>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</si>
  <si>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</si>
  <si>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</si>
  <si>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</si>
  <si>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</si>
  <si>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</si>
  <si>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</si>
  <si>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</si>
  <si>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</si>
  <si>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</si>
  <si>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</si>
  <si>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</si>
  <si>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</si>
  <si>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</si>
  <si>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</si>
  <si>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</si>
  <si>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</si>
  <si>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</si>
  <si>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</si>
  <si>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</si>
  <si>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</si>
  <si>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</si>
  <si>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</si>
  <si>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</si>
  <si>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</si>
  <si>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</si>
  <si>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</si>
  <si>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</si>
  <si>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</si>
  <si>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</si>
  <si>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</si>
  <si>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</si>
  <si>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</si>
  <si>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</si>
  <si>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</si>
  <si>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</si>
  <si>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</si>
  <si>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</si>
  <si>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</si>
  <si>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</si>
  <si>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</si>
  <si>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</si>
  <si>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</si>
  <si>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</si>
  <si>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</si>
  <si>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</si>
  <si>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</si>
  <si>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</si>
  <si>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</si>
  <si>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</si>
  <si>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</si>
  <si>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</si>
  <si>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</si>
  <si>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</si>
  <si>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</si>
  <si>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</si>
  <si>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</si>
  <si>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</si>
  <si>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</si>
  <si>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</si>
  <si>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</si>
  <si>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</si>
  <si>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</si>
  <si>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</si>
  <si>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</si>
  <si>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</si>
  <si>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</si>
  <si>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</si>
  <si>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</si>
  <si>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</si>
  <si>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</si>
  <si>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</si>
  <si>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</si>
  <si>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</si>
  <si>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</si>
  <si>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</si>
  <si>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</si>
  <si>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</si>
  <si>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</si>
  <si>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</si>
  <si>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</si>
  <si>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</si>
  <si>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</si>
  <si>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</si>
  <si>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</si>
  <si>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</si>
  <si>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</si>
  <si>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</si>
  <si>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</si>
  <si>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</si>
  <si>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</si>
  <si>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</si>
  <si>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</si>
  <si>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</si>
  <si>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</si>
  <si>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</si>
  <si>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</si>
  <si>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</si>
  <si>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</si>
  <si>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</si>
  <si>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</si>
  <si>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</si>
  <si>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</si>
  <si>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</si>
  <si>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</si>
  <si>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</si>
  <si>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</si>
  <si>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</si>
  <si>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</si>
  <si>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</si>
  <si>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</si>
  <si>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</si>
  <si>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</si>
  <si>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</si>
  <si>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</si>
  <si>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</si>
  <si>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</si>
  <si>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</si>
  <si>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</si>
  <si>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</si>
  <si>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</si>
  <si>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</si>
  <si>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</si>
  <si>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</si>
  <si>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</si>
  <si>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</si>
  <si>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</si>
  <si>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</si>
  <si>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</si>
  <si>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</si>
  <si>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</si>
  <si>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</si>
  <si>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</si>
  <si>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</si>
  <si>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</si>
  <si>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</si>
  <si>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</si>
  <si>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</si>
  <si>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</si>
  <si>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</si>
  <si>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</si>
  <si>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</si>
  <si>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</si>
  <si>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</si>
  <si>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</si>
  <si>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</si>
  <si>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</si>
  <si>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</si>
  <si>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</si>
  <si>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</si>
  <si>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</si>
  <si>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</si>
  <si>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</si>
  <si>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</si>
  <si>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</si>
  <si>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</si>
  <si>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</si>
  <si>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</si>
  <si>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</si>
  <si>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</si>
  <si>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</si>
  <si>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</si>
  <si>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</si>
  <si>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</si>
  <si>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</si>
  <si>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</si>
  <si>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</si>
  <si>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</si>
  <si>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</si>
  <si>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</si>
  <si>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</si>
  <si>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</si>
  <si>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</si>
  <si>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</si>
  <si>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</si>
  <si>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</si>
  <si>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</si>
  <si>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</si>
  <si>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</si>
  <si>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</si>
  <si>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</si>
  <si>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</si>
  <si>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</si>
  <si>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</si>
  <si>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</si>
  <si>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</si>
  <si>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</si>
  <si>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</si>
  <si>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</si>
  <si>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</si>
  <si>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</si>
  <si>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</si>
  <si>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</si>
  <si>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</si>
  <si>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</si>
  <si>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</si>
  <si>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</si>
  <si>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</si>
  <si>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</si>
  <si>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</si>
  <si>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</si>
  <si>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</si>
  <si>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</si>
  <si>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</si>
  <si>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</si>
  <si>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</si>
  <si>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</si>
  <si>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</si>
  <si>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</si>
  <si>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</si>
  <si>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</si>
  <si>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</si>
  <si>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</si>
  <si>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</si>
  <si>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</si>
  <si>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</si>
  <si>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</si>
  <si>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</si>
  <si>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</si>
  <si>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</si>
  <si>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</si>
  <si>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</si>
  <si>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</si>
  <si>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</si>
  <si>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</si>
  <si>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</si>
  <si>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</si>
  <si>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</si>
  <si>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</si>
  <si>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</si>
  <si>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</si>
  <si>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</si>
  <si>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</si>
  <si>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</si>
  <si>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</si>
  <si>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</si>
  <si>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</si>
  <si>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</si>
  <si>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</si>
  <si>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</si>
  <si>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</si>
  <si>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</si>
  <si>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</si>
  <si>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</si>
  <si>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</si>
  <si>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</si>
  <si>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</si>
  <si>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</si>
  <si>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</si>
  <si>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</si>
  <si>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</si>
  <si>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</si>
  <si>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</si>
  <si>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</si>
  <si>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</si>
  <si>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</si>
  <si>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</si>
  <si>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</si>
  <si>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</si>
  <si>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</si>
  <si>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</si>
  <si>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</si>
  <si>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</si>
  <si>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</si>
  <si>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</si>
  <si>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</si>
  <si>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</si>
  <si>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</si>
  <si>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</si>
  <si>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</si>
  <si>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</si>
  <si>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</si>
  <si>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</si>
  <si>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</si>
  <si>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</si>
  <si>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</si>
  <si>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</si>
  <si>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</si>
  <si>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</si>
  <si>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</si>
  <si>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</si>
  <si>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</si>
  <si>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</si>
  <si>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</si>
  <si>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</si>
  <si>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</si>
  <si>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</si>
  <si>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</si>
  <si>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</si>
  <si>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</si>
  <si>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</si>
  <si>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</si>
  <si>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</si>
  <si>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</si>
  <si>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</si>
  <si>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</si>
  <si>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</si>
  <si>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</si>
  <si>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</si>
  <si>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</si>
  <si>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</si>
  <si>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</si>
  <si>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</si>
  <si>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</si>
  <si>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</si>
  <si>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</si>
  <si>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</si>
  <si>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</si>
  <si>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</si>
  <si>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</si>
  <si>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</si>
  <si>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</si>
  <si>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</si>
  <si>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</si>
  <si>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</si>
  <si>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</si>
  <si>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</si>
  <si>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</si>
  <si>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</si>
  <si>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</si>
  <si>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</si>
  <si>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</si>
  <si>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</si>
  <si>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</si>
  <si>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</si>
  <si>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</si>
  <si>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</si>
  <si>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</si>
  <si>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</si>
  <si>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</si>
  <si>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</si>
  <si>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</si>
  <si>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</si>
  <si>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</si>
  <si>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</si>
  <si>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</si>
  <si>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</si>
  <si>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</si>
  <si>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</si>
  <si>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</si>
  <si>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</si>
  <si>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</si>
  <si>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</si>
  <si>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</si>
  <si>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</si>
  <si>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</si>
  <si>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</si>
  <si>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</si>
  <si>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</si>
  <si>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</si>
  <si>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</si>
  <si>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</si>
  <si>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</si>
  <si>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</si>
  <si>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</si>
  <si>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</si>
  <si>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</si>
  <si>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</si>
  <si>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</si>
  <si>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</si>
  <si>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</si>
  <si>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</si>
  <si>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</si>
  <si>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</si>
  <si>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</si>
  <si>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</si>
  <si>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</si>
  <si>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</si>
  <si>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</si>
  <si>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</si>
  <si>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</si>
  <si>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</si>
  <si>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</si>
  <si>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</si>
  <si>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</si>
  <si>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</si>
  <si>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</si>
  <si>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</si>
  <si>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</si>
  <si>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</si>
  <si>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</si>
  <si>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</si>
  <si>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</si>
  <si>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</si>
  <si>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</si>
  <si>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</si>
  <si>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</si>
  <si>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</si>
  <si>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</si>
  <si>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</si>
  <si>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</si>
  <si>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</si>
  <si>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</si>
  <si>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</si>
  <si>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</si>
  <si>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</si>
  <si>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</si>
  <si>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</si>
  <si>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</si>
  <si>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</si>
  <si>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</si>
  <si>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</si>
  <si>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</si>
  <si>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</si>
  <si>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</si>
  <si>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</si>
  <si>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</si>
  <si>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</si>
  <si>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</si>
  <si>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</si>
  <si>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</si>
  <si>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</si>
  <si>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</si>
  <si>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</si>
  <si>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</si>
  <si>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</si>
  <si>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</si>
  <si>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</si>
  <si>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</si>
  <si>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</si>
  <si>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</si>
  <si>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</si>
  <si>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</si>
  <si>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</si>
  <si>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</si>
  <si>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</si>
  <si>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</si>
  <si>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</si>
  <si>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</si>
  <si>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</si>
  <si>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</si>
  <si>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</si>
  <si>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</si>
  <si>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</si>
  <si>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</si>
  <si>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</si>
  <si>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</si>
  <si>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</si>
  <si>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</si>
  <si>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</si>
  <si>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</si>
  <si>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</si>
  <si>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</si>
  <si>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</si>
  <si>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</si>
  <si>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</si>
  <si>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</si>
  <si>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</si>
  <si>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</si>
  <si>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</si>
  <si>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</si>
  <si>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</si>
  <si>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</si>
  <si>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</si>
  <si>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</si>
  <si>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</si>
  <si>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</si>
  <si>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</si>
  <si>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</si>
  <si>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</si>
  <si>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</si>
  <si>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</si>
  <si>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</si>
  <si>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</si>
  <si>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</si>
  <si>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</si>
  <si>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</si>
  <si>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</si>
  <si>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</si>
  <si>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</si>
  <si>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</si>
  <si>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</si>
  <si>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</si>
  <si>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</si>
  <si>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</si>
  <si>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</si>
  <si>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</si>
  <si>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</si>
  <si>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</si>
  <si>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</si>
  <si>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</si>
  <si>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</si>
  <si>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</si>
  <si>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</si>
  <si>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</si>
  <si>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</si>
  <si>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</si>
  <si>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</si>
  <si>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</si>
  <si>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</si>
  <si>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</si>
  <si>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</si>
  <si>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</si>
  <si>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</si>
  <si>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</si>
  <si>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</si>
  <si>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</si>
  <si>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</si>
  <si>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</si>
  <si>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</si>
  <si>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</si>
  <si>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</si>
  <si>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</si>
  <si>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</si>
  <si>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</si>
  <si>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</si>
  <si>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</si>
  <si>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</si>
  <si>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</si>
  <si>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</si>
  <si>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</si>
  <si>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</si>
  <si>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</si>
  <si>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</si>
  <si>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</si>
  <si>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</si>
  <si>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</si>
  <si>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</si>
  <si>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</si>
  <si>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</si>
  <si>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</si>
  <si>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</si>
  <si>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</si>
  <si>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</si>
  <si>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</si>
  <si>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</si>
  <si>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</si>
  <si>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</si>
  <si>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</si>
  <si>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</si>
  <si>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</si>
  <si>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</si>
  <si>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</si>
  <si>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</si>
  <si>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</si>
  <si>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</si>
  <si>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</si>
  <si>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</si>
  <si>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</si>
  <si>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</si>
  <si>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</si>
  <si>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</si>
  <si>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</si>
  <si>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</si>
  <si>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</si>
  <si>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</si>
  <si>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</si>
  <si>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</si>
  <si>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</si>
  <si>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</si>
  <si>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</si>
  <si>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</si>
  <si>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</si>
  <si>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</si>
  <si>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</si>
  <si>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</si>
  <si>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</si>
  <si>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</si>
  <si>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</si>
  <si>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</si>
  <si>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</si>
  <si>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</si>
  <si>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</si>
  <si>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</si>
  <si>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</si>
  <si>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</si>
  <si>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</si>
  <si>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</si>
  <si>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</si>
  <si>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</si>
  <si>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</si>
  <si>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</si>
  <si>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</si>
  <si>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</si>
  <si>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</si>
  <si>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</si>
  <si>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</si>
  <si>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</si>
  <si>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</si>
  <si>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</si>
  <si>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</si>
  <si>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</si>
  <si>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</si>
  <si>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</si>
  <si>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</si>
  <si>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</si>
  <si>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</si>
  <si>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</si>
  <si>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</si>
  <si>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</si>
  <si>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</si>
  <si>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</si>
  <si>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</si>
  <si>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</si>
  <si>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</si>
  <si>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</si>
  <si>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</si>
  <si>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</si>
  <si>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</si>
  <si>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</si>
  <si>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</si>
  <si>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</si>
  <si>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</si>
  <si>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</si>
  <si>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</si>
  <si>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</si>
  <si>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</si>
  <si>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</si>
  <si>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</si>
  <si>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</si>
  <si>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</si>
  <si>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</si>
  <si>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</si>
  <si>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</si>
  <si>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</si>
  <si>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</si>
  <si>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</si>
  <si>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</si>
  <si>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</si>
  <si>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</si>
  <si>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</si>
  <si>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</si>
  <si>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</si>
  <si>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</si>
  <si>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</si>
  <si>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</si>
  <si>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</si>
  <si>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</si>
  <si>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</si>
  <si>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</si>
  <si>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</si>
  <si>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</si>
  <si>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</si>
  <si>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</si>
  <si>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</si>
  <si>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</si>
  <si>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</si>
  <si>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</si>
  <si>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</si>
  <si>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</si>
  <si>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</si>
  <si>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</si>
  <si>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پارس 964 تا 9544.5</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</si>
  <si>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</si>
  <si>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</si>
  <si>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</si>
  <si>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</si>
  <si>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</si>
  <si>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</si>
  <si>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</si>
  <si>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</si>
  <si>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</si>
  <si>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</si>
  <si>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</si>
  <si>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</si>
  <si>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وغدیر 538578 تا  193.6</t>
  </si>
  <si>
    <t>زاگرس 25994 تا 12513</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</si>
  <si>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</si>
  <si>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</si>
  <si>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</si>
  <si>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</si>
  <si>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</si>
  <si>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</si>
  <si>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</si>
  <si>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</si>
  <si>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</si>
  <si>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</si>
  <si>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</si>
  <si>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</si>
  <si>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</si>
  <si>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</si>
  <si>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</si>
  <si>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</si>
  <si>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</si>
  <si>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بدهی علی به صندوق 19/2/1399</t>
  </si>
  <si>
    <t>20/2/1399</t>
  </si>
  <si>
    <t>21/2/1399</t>
  </si>
  <si>
    <t>پارس 29 تا 13610</t>
  </si>
  <si>
    <t>وغدیر 348244 تا 1055</t>
  </si>
  <si>
    <t>تعداد باقیمانده</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</si>
  <si>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</si>
  <si>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</si>
  <si>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</si>
  <si>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</si>
  <si>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</si>
  <si>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</si>
  <si>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</si>
  <si>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</si>
  <si>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</si>
  <si>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</si>
  <si>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</si>
  <si>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</si>
  <si>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</si>
  <si>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زاگرس 32925 تا 12494</t>
  </si>
  <si>
    <t>23/2/1399</t>
  </si>
  <si>
    <t>مریم از سود وغدیر برداشت 15/2/99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</si>
</sst>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2">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5562</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5563</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5564</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5559</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5560</v>
      </c>
    </row>
    <row r="126" spans="4:10">
      <c r="D126" s="18">
        <v>-1333333</v>
      </c>
      <c r="E126" s="251" t="s">
        <v>5561</v>
      </c>
      <c r="J126" t="s">
        <v>25</v>
      </c>
    </row>
    <row r="127" spans="4:10">
      <c r="D127" s="18">
        <v>-1050000</v>
      </c>
      <c r="E127" s="251" t="s">
        <v>5595</v>
      </c>
    </row>
    <row r="128" spans="4:10">
      <c r="D128" s="18">
        <v>-2000000</v>
      </c>
      <c r="E128" s="251" t="s">
        <v>5623</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5559</v>
      </c>
      <c r="B398" s="113">
        <v>2200000</v>
      </c>
      <c r="C398" s="99">
        <v>2</v>
      </c>
      <c r="D398" s="99">
        <f t="shared" si="36"/>
        <v>3</v>
      </c>
      <c r="E398" s="99">
        <f t="shared" si="37"/>
        <v>0</v>
      </c>
      <c r="F398" s="99">
        <f t="shared" si="38"/>
        <v>6600000</v>
      </c>
      <c r="G398" s="99"/>
    </row>
    <row r="399" spans="1:10">
      <c r="A399" s="99" t="s">
        <v>5565</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D96" zoomScale="85" zoomScaleNormal="85" workbookViewId="0">
      <selection activeCell="G162" sqref="G16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584</v>
      </c>
      <c r="T20" s="168" t="s">
        <v>4299</v>
      </c>
      <c r="U20" s="168">
        <v>192.1</v>
      </c>
      <c r="V20" s="168">
        <f t="shared" ref="V20:V46" si="6">U20*(1+$R$82+$Q$15*S20/36500)</f>
        <v>281.08071999999999</v>
      </c>
      <c r="W20" s="32">
        <f t="shared" ref="W20:W26" si="7">V20*(1+$W$19/100)</f>
        <v>286.70233439999998</v>
      </c>
      <c r="X20" s="32">
        <f t="shared" ref="X20:X26" si="8">V20*(1+$X$19/100)</f>
        <v>292.32394879999998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3029221241.7333884</v>
      </c>
      <c r="M21" s="168" t="s">
        <v>4291</v>
      </c>
      <c r="N21" s="113">
        <f t="shared" ref="N21:N23" si="9">O21*P21</f>
        <v>1118486943.3000002</v>
      </c>
      <c r="O21" s="99">
        <v>1073507</v>
      </c>
      <c r="P21" s="185">
        <f>P45</f>
        <v>1041.9000000000001</v>
      </c>
      <c r="Q21" s="169">
        <v>1353959</v>
      </c>
      <c r="R21" s="168" t="s">
        <v>4416</v>
      </c>
      <c r="S21" s="198">
        <f>S20-59</f>
        <v>525</v>
      </c>
      <c r="T21" s="19" t="s">
        <v>4459</v>
      </c>
      <c r="U21" s="168">
        <v>192.2</v>
      </c>
      <c r="V21" s="168">
        <f t="shared" si="6"/>
        <v>272.52801534246578</v>
      </c>
      <c r="W21" s="32">
        <f t="shared" si="7"/>
        <v>277.97857564931508</v>
      </c>
      <c r="X21" s="32">
        <f t="shared" si="8"/>
        <v>283.42913595616443</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600772959</v>
      </c>
      <c r="O22" s="99">
        <v>48585</v>
      </c>
      <c r="P22" s="185">
        <f>P43</f>
        <v>12365.4</v>
      </c>
      <c r="Q22" s="169">
        <v>1614398</v>
      </c>
      <c r="R22" s="168" t="s">
        <v>4422</v>
      </c>
      <c r="S22" s="168">
        <f>S21-3</f>
        <v>522</v>
      </c>
      <c r="T22" s="19" t="s">
        <v>4492</v>
      </c>
      <c r="U22" s="168">
        <v>184.6</v>
      </c>
      <c r="V22" s="168">
        <f t="shared" si="6"/>
        <v>261.32684054794521</v>
      </c>
      <c r="W22" s="32">
        <f t="shared" si="7"/>
        <v>266.55337735890413</v>
      </c>
      <c r="X22" s="32">
        <f t="shared" si="8"/>
        <v>271.77991416986305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125857071.60000001</v>
      </c>
      <c r="O23" s="99">
        <v>10146</v>
      </c>
      <c r="P23" s="185">
        <f>P42</f>
        <v>12404.6</v>
      </c>
      <c r="Q23" s="169">
        <v>133576</v>
      </c>
      <c r="R23" s="168" t="s">
        <v>4499</v>
      </c>
      <c r="S23" s="197">
        <f>S22-22</f>
        <v>500</v>
      </c>
      <c r="T23" s="168" t="s">
        <v>4500</v>
      </c>
      <c r="U23" s="168">
        <v>166.2</v>
      </c>
      <c r="V23" s="168">
        <f t="shared" si="6"/>
        <v>232.47418520547944</v>
      </c>
      <c r="W23" s="32">
        <f t="shared" si="7"/>
        <v>237.12366890958904</v>
      </c>
      <c r="X23" s="32">
        <f t="shared" si="8"/>
        <v>241.77315261369864</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2887041201.7333884</v>
      </c>
      <c r="G24" s="95">
        <f t="shared" si="0"/>
        <v>-2606734856.35145</v>
      </c>
      <c r="H24" s="11"/>
      <c r="I24" s="96"/>
      <c r="J24" s="96"/>
      <c r="K24" s="168" t="s">
        <v>4457</v>
      </c>
      <c r="L24" s="117">
        <f>-'فروردین 98'!D135</f>
        <v>-26836716</v>
      </c>
      <c r="M24" s="168"/>
      <c r="N24" s="113"/>
      <c r="O24" s="69"/>
      <c r="P24" s="99"/>
      <c r="Q24" s="169">
        <v>220803</v>
      </c>
      <c r="R24" s="168" t="s">
        <v>4221</v>
      </c>
      <c r="S24" s="197">
        <f>S23-1</f>
        <v>499</v>
      </c>
      <c r="T24" s="168" t="s">
        <v>4506</v>
      </c>
      <c r="U24" s="168">
        <v>166</v>
      </c>
      <c r="V24" s="168">
        <f t="shared" si="6"/>
        <v>232.06709041095894</v>
      </c>
      <c r="W24" s="32">
        <f t="shared" si="7"/>
        <v>236.70843221917812</v>
      </c>
      <c r="X24" s="32">
        <f t="shared" si="8"/>
        <v>241.3497740273973</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497</v>
      </c>
      <c r="T25" s="168" t="s">
        <v>4513</v>
      </c>
      <c r="U25" s="168">
        <v>160.19999999999999</v>
      </c>
      <c r="V25" s="168">
        <f t="shared" si="6"/>
        <v>223.71293589041096</v>
      </c>
      <c r="W25" s="32">
        <f t="shared" si="7"/>
        <v>228.18719460821919</v>
      </c>
      <c r="X25" s="32">
        <f t="shared" si="8"/>
        <v>232.66145332602741</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20810968.199999999</v>
      </c>
      <c r="O26" s="69">
        <v>1683</v>
      </c>
      <c r="P26" s="99">
        <f>P43</f>
        <v>12365.4</v>
      </c>
      <c r="Q26" s="169">
        <v>168846</v>
      </c>
      <c r="R26" s="168" t="s">
        <v>3687</v>
      </c>
      <c r="S26" s="197">
        <f>S25-28</f>
        <v>469</v>
      </c>
      <c r="T26" s="168" t="s">
        <v>4600</v>
      </c>
      <c r="U26" s="168">
        <v>172.2</v>
      </c>
      <c r="V26" s="168">
        <f t="shared" si="6"/>
        <v>236.77169753424658</v>
      </c>
      <c r="W26" s="32">
        <f t="shared" si="7"/>
        <v>241.50713148493153</v>
      </c>
      <c r="X26" s="32">
        <f t="shared" si="8"/>
        <v>246.24256543561646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188913140.40000001</v>
      </c>
      <c r="O27" s="69">
        <v>181316</v>
      </c>
      <c r="P27" s="99">
        <f>P45</f>
        <v>1041.9000000000001</v>
      </c>
      <c r="Q27" s="169">
        <v>1563192</v>
      </c>
      <c r="R27" s="213" t="s">
        <v>4699</v>
      </c>
      <c r="S27" s="197">
        <f>S26-33</f>
        <v>436</v>
      </c>
      <c r="T27" s="213" t="s">
        <v>4700</v>
      </c>
      <c r="U27" s="213">
        <v>168.8</v>
      </c>
      <c r="V27" s="213">
        <f t="shared" si="6"/>
        <v>227.82357917808224</v>
      </c>
      <c r="W27" s="32">
        <f t="shared" ref="W27:W32" si="14">V27*(1+$W$19/100)</f>
        <v>232.3800507616439</v>
      </c>
      <c r="X27" s="32">
        <f t="shared" ref="X27:X32" si="15">V27*(1+$X$19/100)</f>
        <v>236.93652234520553</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360</v>
      </c>
      <c r="T28" s="213" t="s">
        <v>4921</v>
      </c>
      <c r="U28" s="213">
        <v>218.5</v>
      </c>
      <c r="V28" s="213">
        <f t="shared" si="6"/>
        <v>282.16311780821923</v>
      </c>
      <c r="W28" s="32">
        <f t="shared" si="14"/>
        <v>287.8063801643836</v>
      </c>
      <c r="X28" s="32">
        <f t="shared" si="15"/>
        <v>293.44964252054803</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357</v>
      </c>
      <c r="T29" s="213" t="s">
        <v>4928</v>
      </c>
      <c r="U29" s="213">
        <v>197.1</v>
      </c>
      <c r="V29" s="213">
        <f t="shared" si="6"/>
        <v>254.07432000000003</v>
      </c>
      <c r="W29" s="32">
        <f t="shared" si="14"/>
        <v>259.15580640000002</v>
      </c>
      <c r="X29" s="32">
        <f t="shared" si="15"/>
        <v>264.23729280000003</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-S157</f>
        <v>-3029221241.7333884</v>
      </c>
      <c r="Q30" s="169">
        <v>12803120</v>
      </c>
      <c r="R30" s="213" t="s">
        <v>4937</v>
      </c>
      <c r="S30" s="197">
        <f>S29-5</f>
        <v>352</v>
      </c>
      <c r="T30" s="213" t="s">
        <v>4939</v>
      </c>
      <c r="U30" s="213">
        <v>194.4</v>
      </c>
      <c r="V30" s="213">
        <f t="shared" si="6"/>
        <v>249.84820602739731</v>
      </c>
      <c r="W30" s="32">
        <f t="shared" si="14"/>
        <v>254.84517014794525</v>
      </c>
      <c r="X30" s="32">
        <f t="shared" si="15"/>
        <v>259.84213426849323</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346</v>
      </c>
      <c r="T31" s="213" t="s">
        <v>4946</v>
      </c>
      <c r="U31" s="213">
        <v>190.3</v>
      </c>
      <c r="V31" s="213">
        <f t="shared" si="6"/>
        <v>243.70287232876714</v>
      </c>
      <c r="W31" s="32">
        <f t="shared" si="14"/>
        <v>248.57692977534248</v>
      </c>
      <c r="X31" s="32">
        <f t="shared" si="15"/>
        <v>253.45098722191784</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344</v>
      </c>
      <c r="T32" s="213" t="s">
        <v>5587</v>
      </c>
      <c r="U32" s="213">
        <v>195.5</v>
      </c>
      <c r="V32" s="213">
        <f t="shared" si="6"/>
        <v>250.06217534246579</v>
      </c>
      <c r="W32" s="32">
        <f t="shared" si="14"/>
        <v>255.0634188493151</v>
      </c>
      <c r="X32" s="32">
        <f t="shared" si="15"/>
        <v>260.06466235616443</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185</v>
      </c>
      <c r="T33" s="213" t="s">
        <v>5265</v>
      </c>
      <c r="U33" s="213">
        <v>6513.1</v>
      </c>
      <c r="V33" s="213">
        <f t="shared" si="6"/>
        <v>7536.4239967123303</v>
      </c>
      <c r="W33" s="32">
        <f t="shared" ref="W33" si="16">V33*(1+$W$19/100)</f>
        <v>7687.1524766465773</v>
      </c>
      <c r="X33" s="32">
        <f t="shared" ref="X33" si="17">V33*(1+$X$19/100)</f>
        <v>7837.8809565808242</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29</v>
      </c>
      <c r="T34" s="213" t="s">
        <v>5511</v>
      </c>
      <c r="U34" s="213">
        <v>7121.4</v>
      </c>
      <c r="V34" s="213">
        <f t="shared" si="6"/>
        <v>7388.0720416438353</v>
      </c>
      <c r="W34" s="32">
        <f t="shared" ref="W34" si="18">V34*(1+$W$19/100)</f>
        <v>7535.8334824767126</v>
      </c>
      <c r="X34" s="32">
        <f t="shared" ref="X34" si="19">V34*(1+$X$19/100)</f>
        <v>7683.5949233095889</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21</v>
      </c>
      <c r="T35" s="213" t="s">
        <v>5520</v>
      </c>
      <c r="U35" s="213">
        <v>7581.3</v>
      </c>
      <c r="V35" s="213">
        <f t="shared" si="6"/>
        <v>7818.6673873972604</v>
      </c>
      <c r="W35" s="32">
        <f t="shared" ref="W35:W37" si="20">V35*(1+$W$19/100)</f>
        <v>7975.0407351452059</v>
      </c>
      <c r="X35" s="32">
        <f t="shared" ref="X35:X37" si="21">V35*(1+$X$19/100)</f>
        <v>8131.4140828931513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5521</v>
      </c>
      <c r="S36" s="197">
        <f>S35-1</f>
        <v>20</v>
      </c>
      <c r="T36" s="213" t="s">
        <v>5522</v>
      </c>
      <c r="U36" s="213">
        <v>7614.2</v>
      </c>
      <c r="V36" s="213">
        <f t="shared" si="6"/>
        <v>7846.7564427397265</v>
      </c>
      <c r="W36" s="32">
        <f t="shared" si="20"/>
        <v>8003.6915715945215</v>
      </c>
      <c r="X36" s="32">
        <f t="shared" si="21"/>
        <v>8160.6267004493156</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16</v>
      </c>
      <c r="T37" s="213" t="s">
        <v>5526</v>
      </c>
      <c r="U37" s="213">
        <v>8488</v>
      </c>
      <c r="V37" s="213">
        <f t="shared" si="6"/>
        <v>8721.1990794520552</v>
      </c>
      <c r="W37" s="32">
        <f t="shared" si="20"/>
        <v>8895.6230610410967</v>
      </c>
      <c r="X37" s="32">
        <f t="shared" si="21"/>
        <v>9070.0470426301381</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146</v>
      </c>
      <c r="O38" s="114"/>
      <c r="P38" t="s">
        <v>25</v>
      </c>
      <c r="Q38" s="169">
        <v>1687767</v>
      </c>
      <c r="R38" s="213" t="s">
        <v>5528</v>
      </c>
      <c r="S38" s="197">
        <f>S37-2</f>
        <v>14</v>
      </c>
      <c r="T38" s="213" t="s">
        <v>5531</v>
      </c>
      <c r="U38" s="213">
        <v>8317.5</v>
      </c>
      <c r="V38" s="213">
        <f t="shared" si="6"/>
        <v>8533.2536712328783</v>
      </c>
      <c r="W38" s="32">
        <f t="shared" ref="W38:W50" si="22">V38*(1+$W$19/100)</f>
        <v>8703.9187446575361</v>
      </c>
      <c r="X38" s="32">
        <f t="shared" ref="X38:X50" si="23">V38*(1+$X$19/100)</f>
        <v>8874.5838180821938</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5609</v>
      </c>
      <c r="L39" s="117">
        <v>-19000000</v>
      </c>
      <c r="M39" s="168"/>
      <c r="N39" s="113"/>
      <c r="O39" s="99"/>
      <c r="P39" s="99"/>
      <c r="Q39" s="169">
        <v>29256748</v>
      </c>
      <c r="R39" s="213" t="s">
        <v>5532</v>
      </c>
      <c r="S39" s="197">
        <f>S38-1</f>
        <v>13</v>
      </c>
      <c r="T39" s="213" t="s">
        <v>5537</v>
      </c>
      <c r="U39" s="213">
        <v>8338</v>
      </c>
      <c r="V39" s="213">
        <f t="shared" si="6"/>
        <v>8547.8891616438359</v>
      </c>
      <c r="W39" s="32">
        <f t="shared" si="22"/>
        <v>8718.8469448767137</v>
      </c>
      <c r="X39" s="32">
        <f t="shared" si="23"/>
        <v>8889.8047281095896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5608</v>
      </c>
      <c r="L40" s="117">
        <v>-35425716</v>
      </c>
      <c r="M40" s="21" t="s">
        <v>5388</v>
      </c>
      <c r="N40" s="117">
        <f t="shared" ref="N40" si="24">O40*P40</f>
        <v>69807300</v>
      </c>
      <c r="O40" s="69">
        <v>67000</v>
      </c>
      <c r="P40" s="69">
        <f>P45</f>
        <v>1041.9000000000001</v>
      </c>
      <c r="Q40" s="169">
        <v>49280339</v>
      </c>
      <c r="R40" s="213" t="s">
        <v>5541</v>
      </c>
      <c r="S40" s="197">
        <f>S39-3</f>
        <v>10</v>
      </c>
      <c r="T40" s="213" t="s">
        <v>5544</v>
      </c>
      <c r="U40" s="213">
        <v>8740</v>
      </c>
      <c r="V40" s="213">
        <f t="shared" si="6"/>
        <v>8939.8945753424669</v>
      </c>
      <c r="W40" s="32">
        <f t="shared" si="22"/>
        <v>9118.6924668493157</v>
      </c>
      <c r="X40" s="32">
        <f t="shared" si="23"/>
        <v>9297.4903583561663</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-19800000</v>
      </c>
      <c r="M41" s="21" t="s">
        <v>5334</v>
      </c>
      <c r="N41" s="117">
        <f t="shared" ref="N41:N48" si="25">O41*P41</f>
        <v>0</v>
      </c>
      <c r="O41" s="69">
        <v>0</v>
      </c>
      <c r="P41" s="69">
        <v>85400</v>
      </c>
      <c r="Q41" s="169">
        <v>3602822</v>
      </c>
      <c r="R41" s="213" t="s">
        <v>5546</v>
      </c>
      <c r="S41" s="197">
        <f>S40-1</f>
        <v>9</v>
      </c>
      <c r="T41" s="213" t="s">
        <v>5549</v>
      </c>
      <c r="U41" s="213">
        <v>8966.4</v>
      </c>
      <c r="V41" s="213">
        <f t="shared" si="6"/>
        <v>9164.5942882191794</v>
      </c>
      <c r="W41" s="32">
        <f t="shared" si="22"/>
        <v>9347.8861739835629</v>
      </c>
      <c r="X41" s="32">
        <f t="shared" si="23"/>
        <v>9531.1780597479465</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193462141.59999999</v>
      </c>
      <c r="O42" s="69">
        <v>15596</v>
      </c>
      <c r="P42" s="69">
        <v>12404.6</v>
      </c>
      <c r="Q42" s="169">
        <v>41520740</v>
      </c>
      <c r="R42" s="213" t="s">
        <v>5546</v>
      </c>
      <c r="S42" s="197">
        <f>S41</f>
        <v>9</v>
      </c>
      <c r="T42" s="213" t="s">
        <v>5550</v>
      </c>
      <c r="U42" s="213">
        <v>8537.2999999999993</v>
      </c>
      <c r="V42" s="213">
        <f t="shared" si="6"/>
        <v>8726.0094147945219</v>
      </c>
      <c r="W42" s="32">
        <f t="shared" si="22"/>
        <v>8900.5296030904119</v>
      </c>
      <c r="X42" s="32">
        <f t="shared" si="23"/>
        <v>9075.0497913863037</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1164066390.5999999</v>
      </c>
      <c r="O43" s="69">
        <v>94139</v>
      </c>
      <c r="P43" s="69">
        <v>12365.4</v>
      </c>
      <c r="Q43" s="169">
        <v>45615767</v>
      </c>
      <c r="R43" s="213" t="s">
        <v>5551</v>
      </c>
      <c r="S43" s="197">
        <f>S42-1</f>
        <v>8</v>
      </c>
      <c r="T43" s="213" t="s">
        <v>5554</v>
      </c>
      <c r="U43" s="213">
        <v>8558.9</v>
      </c>
      <c r="V43" s="213">
        <f t="shared" si="6"/>
        <v>8741.5211320547951</v>
      </c>
      <c r="W43" s="32">
        <f t="shared" si="22"/>
        <v>8916.3515546958915</v>
      </c>
      <c r="X43" s="32">
        <f t="shared" si="23"/>
        <v>9091.181977336988</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5400</v>
      </c>
      <c r="N44" s="117">
        <f t="shared" si="25"/>
        <v>0</v>
      </c>
      <c r="O44" s="69">
        <v>0</v>
      </c>
      <c r="P44" s="69">
        <v>1028.9000000000001</v>
      </c>
      <c r="Q44" s="169">
        <v>7413007</v>
      </c>
      <c r="R44" s="213" t="s">
        <v>5565</v>
      </c>
      <c r="S44" s="197">
        <f>S43-5</f>
        <v>3</v>
      </c>
      <c r="T44" s="213" t="s">
        <v>5566</v>
      </c>
      <c r="U44" s="213">
        <v>9110.5</v>
      </c>
      <c r="V44" s="213">
        <f t="shared" si="6"/>
        <v>9269.9462301369877</v>
      </c>
      <c r="W44" s="32">
        <f t="shared" si="22"/>
        <v>9455.3451547397271</v>
      </c>
      <c r="X44" s="32">
        <f t="shared" si="23"/>
        <v>9640.7440793424666</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-30128021</v>
      </c>
      <c r="M45" s="19" t="s">
        <v>4173</v>
      </c>
      <c r="N45" s="113">
        <f>O45*P45</f>
        <v>2429518048.5</v>
      </c>
      <c r="O45" s="99">
        <v>2331815</v>
      </c>
      <c r="P45" s="99">
        <v>1041.9000000000001</v>
      </c>
      <c r="Q45" s="169">
        <v>64446280</v>
      </c>
      <c r="R45" s="213" t="s">
        <v>5569</v>
      </c>
      <c r="S45" s="197">
        <f>S44-3</f>
        <v>0</v>
      </c>
      <c r="T45" s="213" t="s">
        <v>5576</v>
      </c>
      <c r="U45" s="213">
        <v>10302</v>
      </c>
      <c r="V45" s="213">
        <f t="shared" si="6"/>
        <v>10458.590400000001</v>
      </c>
      <c r="W45" s="32">
        <f t="shared" si="22"/>
        <v>10667.762208000002</v>
      </c>
      <c r="X45" s="32">
        <f t="shared" si="23"/>
        <v>10876.934016000001</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5591</v>
      </c>
      <c r="L46" s="117">
        <v>-1605910</v>
      </c>
      <c r="M46" s="19" t="s">
        <v>5143</v>
      </c>
      <c r="N46" s="113">
        <f t="shared" si="25"/>
        <v>0</v>
      </c>
      <c r="O46" s="99">
        <v>0</v>
      </c>
      <c r="P46" s="99">
        <v>5720</v>
      </c>
      <c r="Q46" s="169">
        <v>326876307</v>
      </c>
      <c r="R46" s="213" t="s">
        <v>5407</v>
      </c>
      <c r="S46" s="197">
        <f>S45-6</f>
        <v>-6</v>
      </c>
      <c r="T46" s="213" t="s">
        <v>5584</v>
      </c>
      <c r="U46" s="213">
        <v>12513</v>
      </c>
      <c r="V46" s="213">
        <f t="shared" si="6"/>
        <v>12645.603517808222</v>
      </c>
      <c r="W46" s="32">
        <f t="shared" si="22"/>
        <v>12898.515588164386</v>
      </c>
      <c r="X46" s="32">
        <f t="shared" si="23"/>
        <v>13151.427658520552</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748000</v>
      </c>
      <c r="Q47" s="169">
        <v>35002507</v>
      </c>
      <c r="R47" s="213" t="s">
        <v>5582</v>
      </c>
      <c r="S47" s="197">
        <f>S46-1</f>
        <v>-7</v>
      </c>
      <c r="T47" s="213" t="s">
        <v>5592</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69807300</v>
      </c>
      <c r="M48" s="73" t="s">
        <v>5142</v>
      </c>
      <c r="N48" s="117">
        <f t="shared" si="25"/>
        <v>0</v>
      </c>
      <c r="O48" s="69">
        <v>0</v>
      </c>
      <c r="P48" s="69">
        <v>16500</v>
      </c>
      <c r="Q48" s="169">
        <v>5030993</v>
      </c>
      <c r="R48" s="213" t="s">
        <v>5597</v>
      </c>
      <c r="S48" s="197">
        <f>S47-1</f>
        <v>-8</v>
      </c>
      <c r="T48" s="213" t="s">
        <v>5598</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987122162.62559795</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-S158</f>
        <v>-85722286.019113719</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584</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522</v>
      </c>
      <c r="T57" s="190" t="s">
        <v>4493</v>
      </c>
      <c r="U57" s="168">
        <v>184.6</v>
      </c>
      <c r="V57" s="168">
        <f t="shared" ref="V57:V75" si="26">U57*(1+$R$82+$Q$15*S57/36500)</f>
        <v>261.32684054794521</v>
      </c>
      <c r="W57" s="32">
        <f t="shared" ref="W57:W67" si="27">V57*(1+$W$19/100)</f>
        <v>266.55337735890413</v>
      </c>
      <c r="X57" s="32">
        <f t="shared" ref="X57:X67" si="28">V57*(1+$X$19/100)</f>
        <v>271.77991416986305</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2740649689.4474983</v>
      </c>
      <c r="P58" t="s">
        <v>25</v>
      </c>
      <c r="Q58" s="169">
        <v>1692313</v>
      </c>
      <c r="R58" s="168" t="s">
        <v>4496</v>
      </c>
      <c r="S58" s="197">
        <f>S57-21</f>
        <v>501</v>
      </c>
      <c r="T58" s="189" t="s">
        <v>4497</v>
      </c>
      <c r="U58" s="168">
        <v>168.5</v>
      </c>
      <c r="V58" s="168">
        <f t="shared" si="26"/>
        <v>235.82059726027398</v>
      </c>
      <c r="W58" s="32">
        <f t="shared" si="27"/>
        <v>240.53700920547948</v>
      </c>
      <c r="X58" s="32">
        <f t="shared" si="28"/>
        <v>245.25342115068494</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2887041201.7333884</v>
      </c>
      <c r="M59" s="168"/>
      <c r="N59" s="113">
        <f>N16+N17+N31</f>
        <v>641053</v>
      </c>
      <c r="Q59" s="169">
        <v>101153</v>
      </c>
      <c r="R59" s="168" t="s">
        <v>4499</v>
      </c>
      <c r="S59" s="197">
        <f>S58-1</f>
        <v>500</v>
      </c>
      <c r="T59" s="189" t="s">
        <v>4501</v>
      </c>
      <c r="U59" s="168">
        <v>166.7</v>
      </c>
      <c r="V59" s="168">
        <f t="shared" si="26"/>
        <v>233.17356602739727</v>
      </c>
      <c r="W59" s="32">
        <f t="shared" si="27"/>
        <v>237.83703734794523</v>
      </c>
      <c r="X59" s="32">
        <f t="shared" si="28"/>
        <v>242.50050866849318</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499</v>
      </c>
      <c r="T60" s="189" t="s">
        <v>4505</v>
      </c>
      <c r="U60" s="168">
        <v>166.6</v>
      </c>
      <c r="V60" s="168">
        <f t="shared" si="26"/>
        <v>232.9058871232877</v>
      </c>
      <c r="W60" s="32">
        <f t="shared" si="27"/>
        <v>237.56400486575345</v>
      </c>
      <c r="X60" s="32">
        <f t="shared" si="28"/>
        <v>242.22212260821922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2987041201.7333884</v>
      </c>
      <c r="O61" s="96"/>
      <c r="P61" s="96"/>
      <c r="Q61" s="169">
        <v>168846</v>
      </c>
      <c r="R61" s="168" t="s">
        <v>3687</v>
      </c>
      <c r="S61" s="197">
        <f>S60-30</f>
        <v>469</v>
      </c>
      <c r="T61" s="189" t="s">
        <v>4600</v>
      </c>
      <c r="U61" s="168">
        <v>172.2</v>
      </c>
      <c r="V61" s="168">
        <f t="shared" si="26"/>
        <v>236.77169753424658</v>
      </c>
      <c r="W61" s="32">
        <f t="shared" si="27"/>
        <v>241.50713148493153</v>
      </c>
      <c r="X61" s="32">
        <f t="shared" si="28"/>
        <v>246.24256543561646</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394</v>
      </c>
      <c r="T62" s="189" t="s">
        <v>4836</v>
      </c>
      <c r="U62" s="213">
        <v>183</v>
      </c>
      <c r="V62" s="213">
        <f t="shared" si="26"/>
        <v>241.09272328767125</v>
      </c>
      <c r="W62" s="32">
        <f t="shared" si="27"/>
        <v>245.91457775342468</v>
      </c>
      <c r="X62" s="32">
        <f t="shared" si="28"/>
        <v>250.73643221917811</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1200301</v>
      </c>
      <c r="R63" s="19" t="s">
        <v>4920</v>
      </c>
      <c r="S63" s="197">
        <f>S62-34</f>
        <v>360</v>
      </c>
      <c r="T63" s="189" t="s">
        <v>4922</v>
      </c>
      <c r="U63" s="213">
        <v>218.5</v>
      </c>
      <c r="V63" s="213">
        <f t="shared" si="26"/>
        <v>282.16311780821923</v>
      </c>
      <c r="W63" s="32">
        <f t="shared" si="27"/>
        <v>287.8063801643836</v>
      </c>
      <c r="X63" s="32">
        <f t="shared" si="28"/>
        <v>293.44964252054803</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344</v>
      </c>
      <c r="T64" s="189" t="s">
        <v>4950</v>
      </c>
      <c r="U64" s="213">
        <v>196.2</v>
      </c>
      <c r="V64" s="213">
        <f t="shared" si="26"/>
        <v>250.95753863013701</v>
      </c>
      <c r="W64" s="32">
        <f t="shared" si="27"/>
        <v>255.97668940273977</v>
      </c>
      <c r="X64" s="32">
        <f t="shared" si="28"/>
        <v>260.99584017534249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335</v>
      </c>
      <c r="T65" s="189" t="s">
        <v>4968</v>
      </c>
      <c r="U65" s="213">
        <v>199.8</v>
      </c>
      <c r="V65" s="213">
        <f t="shared" si="26"/>
        <v>254.18282301369865</v>
      </c>
      <c r="W65" s="32">
        <f t="shared" si="27"/>
        <v>259.26647947397265</v>
      </c>
      <c r="X65" s="32">
        <f t="shared" si="28"/>
        <v>264.35013593424662</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332</v>
      </c>
      <c r="T66" s="189" t="s">
        <v>4972</v>
      </c>
      <c r="U66" s="213">
        <v>199.5</v>
      </c>
      <c r="V66" s="213">
        <f t="shared" si="26"/>
        <v>253.34204383561647</v>
      </c>
      <c r="W66" s="32">
        <f t="shared" si="27"/>
        <v>258.40888471232881</v>
      </c>
      <c r="X66" s="32">
        <f t="shared" si="28"/>
        <v>263.47572558904113</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323</v>
      </c>
      <c r="T67" s="189" t="s">
        <v>5465</v>
      </c>
      <c r="U67" s="213">
        <v>200</v>
      </c>
      <c r="V67" s="213">
        <f t="shared" si="26"/>
        <v>252.59616438356164</v>
      </c>
      <c r="W67" s="32">
        <f t="shared" si="27"/>
        <v>257.64808767123287</v>
      </c>
      <c r="X67" s="32">
        <f t="shared" si="28"/>
        <v>262.7000109589041</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5459</v>
      </c>
      <c r="S68" s="197">
        <f>S67-265</f>
        <v>58</v>
      </c>
      <c r="T68" s="189" t="s">
        <v>5464</v>
      </c>
      <c r="U68" s="213">
        <v>7792.9</v>
      </c>
      <c r="V68" s="213">
        <f t="shared" si="26"/>
        <v>8258.0827539726033</v>
      </c>
      <c r="W68" s="32">
        <f t="shared" ref="W68:W77" si="30">V68*(1+$W$19/100)</f>
        <v>8423.2444090520548</v>
      </c>
      <c r="X68" s="32">
        <f t="shared" ref="X68:X77" si="31">V68*(1+$X$19/100)</f>
        <v>8588.4060641315082</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5466</v>
      </c>
      <c r="S69" s="197">
        <f>S68-2</f>
        <v>56</v>
      </c>
      <c r="T69" s="189" t="s">
        <v>5469</v>
      </c>
      <c r="U69" s="213">
        <v>8086.9</v>
      </c>
      <c r="V69" s="213">
        <f t="shared" si="26"/>
        <v>8557.225241643835</v>
      </c>
      <c r="W69" s="32">
        <f t="shared" si="30"/>
        <v>8728.369746476712</v>
      </c>
      <c r="X69" s="32">
        <f t="shared" si="31"/>
        <v>8899.5142513095889</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5479</v>
      </c>
      <c r="S70" s="197">
        <f>S69-6</f>
        <v>50</v>
      </c>
      <c r="T70" s="189" t="s">
        <v>5486</v>
      </c>
      <c r="U70" s="213">
        <v>500.5</v>
      </c>
      <c r="V70" s="213">
        <f t="shared" si="26"/>
        <v>527.30486027397274</v>
      </c>
      <c r="W70" s="32">
        <f t="shared" si="30"/>
        <v>537.85095747945218</v>
      </c>
      <c r="X70" s="32">
        <f t="shared" si="31"/>
        <v>548.39705468493162</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5247</v>
      </c>
      <c r="O71" t="s">
        <v>25</v>
      </c>
      <c r="P71" s="115"/>
      <c r="Q71" s="169">
        <v>124313</v>
      </c>
      <c r="R71" s="19" t="s">
        <v>5488</v>
      </c>
      <c r="S71" s="197">
        <f>S70-5</f>
        <v>45</v>
      </c>
      <c r="T71" s="189" t="s">
        <v>5489</v>
      </c>
      <c r="U71" s="213">
        <v>460</v>
      </c>
      <c r="V71" s="213">
        <f t="shared" si="26"/>
        <v>482.87145205479459</v>
      </c>
      <c r="W71" s="32">
        <f t="shared" si="30"/>
        <v>492.52888109589048</v>
      </c>
      <c r="X71" s="32">
        <f t="shared" si="31"/>
        <v>502.18631013698638</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O45+O21+O27-G155</f>
        <v>-247008</v>
      </c>
      <c r="N72" s="113">
        <f>M72*P45</f>
        <v>-257357635.20000002</v>
      </c>
      <c r="P72" s="116"/>
      <c r="Q72" s="169">
        <v>371541</v>
      </c>
      <c r="R72" s="19" t="s">
        <v>5516</v>
      </c>
      <c r="S72" s="197">
        <f>S71-23</f>
        <v>22</v>
      </c>
      <c r="T72" s="189" t="s">
        <v>5517</v>
      </c>
      <c r="U72" s="213">
        <v>484.7</v>
      </c>
      <c r="V72" s="213">
        <f t="shared" si="26"/>
        <v>500.24758246575351</v>
      </c>
      <c r="W72" s="32">
        <f t="shared" si="30"/>
        <v>510.25253411506861</v>
      </c>
      <c r="X72" s="32">
        <f t="shared" si="31"/>
        <v>520.25748576438366</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5557</v>
      </c>
      <c r="S73" s="197">
        <f>S72-16</f>
        <v>6</v>
      </c>
      <c r="T73" s="189" t="s">
        <v>5558</v>
      </c>
      <c r="U73" s="213">
        <v>9000</v>
      </c>
      <c r="V73" s="213">
        <f t="shared" si="26"/>
        <v>9178.2246575342469</v>
      </c>
      <c r="W73" s="32">
        <f t="shared" si="30"/>
        <v>9361.7891506849319</v>
      </c>
      <c r="X73" s="32">
        <f t="shared" si="31"/>
        <v>9545.3536438356168</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5569</v>
      </c>
      <c r="S74" s="197">
        <f>S73-6</f>
        <v>0</v>
      </c>
      <c r="T74" s="189" t="s">
        <v>5577</v>
      </c>
      <c r="U74" s="213">
        <v>10699.9</v>
      </c>
      <c r="V74" s="213">
        <f t="shared" si="26"/>
        <v>10862.538480000001</v>
      </c>
      <c r="W74" s="32">
        <f t="shared" si="30"/>
        <v>11079.7892496</v>
      </c>
      <c r="X74" s="32">
        <f t="shared" si="31"/>
        <v>11297.040019200002</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5597</v>
      </c>
      <c r="S75" s="197">
        <f>S74-8</f>
        <v>-8</v>
      </c>
      <c r="T75" s="189" t="s">
        <v>5599</v>
      </c>
      <c r="U75" s="213">
        <v>1022.2</v>
      </c>
      <c r="V75" s="213">
        <f t="shared" si="26"/>
        <v>1031.46421260274</v>
      </c>
      <c r="W75" s="32">
        <f t="shared" si="30"/>
        <v>1052.0934968547947</v>
      </c>
      <c r="X75" s="32">
        <f t="shared" si="31"/>
        <v>1072.7227811068497</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157109428.59999999</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584</v>
      </c>
      <c r="T86" s="5" t="s">
        <v>4335</v>
      </c>
      <c r="U86" s="168">
        <v>192</v>
      </c>
      <c r="V86" s="99">
        <f t="shared" ref="V86:V117" si="33">U86*(1+$R$82+$Q$15*S86/36500)</f>
        <v>280.93439999999998</v>
      </c>
      <c r="W86" s="32">
        <f t="shared" ref="W86:W101" si="34">V86*(1+$W$19/100)</f>
        <v>286.553088</v>
      </c>
      <c r="X86" s="32">
        <f t="shared" ref="X86:X101" si="35">V86*(1+$X$19/100)</f>
        <v>292.17177599999997</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553</v>
      </c>
      <c r="T87" s="5" t="s">
        <v>4302</v>
      </c>
      <c r="U87" s="168">
        <v>214.57</v>
      </c>
      <c r="V87" s="99">
        <f t="shared" si="33"/>
        <v>308.85617304109593</v>
      </c>
      <c r="W87" s="32">
        <f t="shared" si="34"/>
        <v>315.03329650191785</v>
      </c>
      <c r="X87" s="32">
        <f t="shared" si="35"/>
        <v>321.21041996273976</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542</v>
      </c>
      <c r="T88" s="5" t="s">
        <v>4334</v>
      </c>
      <c r="U88" s="168">
        <v>206.8</v>
      </c>
      <c r="V88" s="99">
        <f t="shared" si="33"/>
        <v>295.92683397260276</v>
      </c>
      <c r="W88" s="32">
        <f t="shared" si="34"/>
        <v>301.84537065205484</v>
      </c>
      <c r="X88" s="32">
        <f t="shared" si="35"/>
        <v>307.76390733150691</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1429825</v>
      </c>
      <c r="R89" s="5" t="s">
        <v>4361</v>
      </c>
      <c r="S89" s="5">
        <f>S88-7</f>
        <v>535</v>
      </c>
      <c r="T89" s="5" t="s">
        <v>4370</v>
      </c>
      <c r="U89" s="168">
        <v>203.9</v>
      </c>
      <c r="V89" s="99">
        <f t="shared" si="33"/>
        <v>290.68207452054799</v>
      </c>
      <c r="W89" s="32">
        <f t="shared" si="34"/>
        <v>296.49571601095897</v>
      </c>
      <c r="X89" s="32">
        <f t="shared" si="35"/>
        <v>302.3093575013699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535</v>
      </c>
      <c r="T90" s="5" t="s">
        <v>4372</v>
      </c>
      <c r="U90" s="168">
        <v>203.1</v>
      </c>
      <c r="V90" s="99">
        <f t="shared" si="33"/>
        <v>289.54158575342467</v>
      </c>
      <c r="W90" s="32">
        <f t="shared" si="34"/>
        <v>295.33241746849319</v>
      </c>
      <c r="X90" s="32">
        <f t="shared" si="35"/>
        <v>301.12324918356165</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532</v>
      </c>
      <c r="T91" s="5" t="s">
        <v>4386</v>
      </c>
      <c r="U91" s="168">
        <v>202.1</v>
      </c>
      <c r="V91" s="99">
        <f t="shared" si="33"/>
        <v>287.6508679452055</v>
      </c>
      <c r="W91" s="32">
        <f t="shared" si="34"/>
        <v>293.40388530410962</v>
      </c>
      <c r="X91" s="32">
        <f t="shared" si="35"/>
        <v>299.15690266301374</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528</v>
      </c>
      <c r="T92" s="5" t="s">
        <v>4403</v>
      </c>
      <c r="U92" s="168">
        <v>196.2</v>
      </c>
      <c r="V92" s="99">
        <f t="shared" si="33"/>
        <v>278.65130301369862</v>
      </c>
      <c r="W92" s="32">
        <f t="shared" si="34"/>
        <v>284.22432907397263</v>
      </c>
      <c r="X92" s="32">
        <f t="shared" si="35"/>
        <v>289.79735513424657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522</v>
      </c>
      <c r="T93" s="5" t="s">
        <v>4460</v>
      </c>
      <c r="U93" s="168">
        <v>184.5</v>
      </c>
      <c r="V93" s="99">
        <f t="shared" si="33"/>
        <v>261.1852767123288</v>
      </c>
      <c r="W93" s="32">
        <f t="shared" si="34"/>
        <v>266.40898224657536</v>
      </c>
      <c r="X93" s="32">
        <f t="shared" si="35"/>
        <v>271.63268778082198</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520</v>
      </c>
      <c r="T94" s="5" t="s">
        <v>4425</v>
      </c>
      <c r="U94" s="168">
        <v>177.5</v>
      </c>
      <c r="V94" s="99">
        <f t="shared" si="33"/>
        <v>251.00347945205482</v>
      </c>
      <c r="W94" s="32">
        <f t="shared" si="34"/>
        <v>256.02354904109592</v>
      </c>
      <c r="X94" s="32">
        <f t="shared" si="35"/>
        <v>261.04361863013702</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515</v>
      </c>
      <c r="T95" s="218" t="s">
        <v>4574</v>
      </c>
      <c r="U95" s="168">
        <v>190.3</v>
      </c>
      <c r="V95" s="99">
        <f t="shared" si="33"/>
        <v>268.3740942465754</v>
      </c>
      <c r="W95" s="32">
        <f t="shared" si="34"/>
        <v>273.74157613150692</v>
      </c>
      <c r="X95" s="32">
        <f t="shared" si="35"/>
        <v>279.10905801643844</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473</v>
      </c>
      <c r="T96" s="5" t="s">
        <v>4585</v>
      </c>
      <c r="U96" s="168">
        <v>174.9</v>
      </c>
      <c r="V96" s="99">
        <f t="shared" si="33"/>
        <v>241.0208252054795</v>
      </c>
      <c r="W96" s="32">
        <f t="shared" si="34"/>
        <v>245.8412417095891</v>
      </c>
      <c r="X96" s="32">
        <f t="shared" si="35"/>
        <v>250.66165821369867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472</v>
      </c>
      <c r="T97" s="5" t="s">
        <v>4590</v>
      </c>
      <c r="U97" s="168">
        <v>173</v>
      </c>
      <c r="V97" s="99">
        <f t="shared" si="33"/>
        <v>238.2698191780822</v>
      </c>
      <c r="W97" s="32">
        <f t="shared" si="34"/>
        <v>243.03521556164384</v>
      </c>
      <c r="X97" s="32">
        <f t="shared" si="35"/>
        <v>247.8006119452055</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471</v>
      </c>
      <c r="T98" s="5" t="s">
        <v>4592</v>
      </c>
      <c r="U98" s="168">
        <v>171.2</v>
      </c>
      <c r="V98" s="99">
        <f t="shared" si="33"/>
        <v>235.65937972602742</v>
      </c>
      <c r="W98" s="32">
        <f t="shared" si="34"/>
        <v>240.37256732054797</v>
      </c>
      <c r="X98" s="32">
        <f t="shared" si="35"/>
        <v>245.08575491506852</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471</v>
      </c>
      <c r="T99" s="5" t="s">
        <v>4596</v>
      </c>
      <c r="U99" s="168">
        <v>175</v>
      </c>
      <c r="V99" s="99">
        <f t="shared" si="33"/>
        <v>240.8901369863014</v>
      </c>
      <c r="W99" s="32">
        <f t="shared" si="34"/>
        <v>245.70793972602743</v>
      </c>
      <c r="X99" s="32">
        <f t="shared" si="35"/>
        <v>250.52574246575347</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7179.1918610231305</v>
      </c>
      <c r="G100" s="199">
        <f>P45</f>
        <v>1041.9000000000001</v>
      </c>
      <c r="H100" s="199" t="s">
        <v>4757</v>
      </c>
      <c r="I100" s="199" t="s">
        <v>5406</v>
      </c>
      <c r="J100" s="214" t="s">
        <v>4233</v>
      </c>
      <c r="K100" s="199">
        <v>210</v>
      </c>
      <c r="L100" s="215">
        <f t="shared" ref="L100:L105" si="37">K100*$L$108</f>
        <v>1570800000</v>
      </c>
      <c r="M100" s="215">
        <f>N21+N27+N45+N40</f>
        <v>3806725432.2000003</v>
      </c>
      <c r="N100" s="183">
        <f>L100-M100</f>
        <v>-2235925432.2000003</v>
      </c>
      <c r="P100" s="96"/>
      <c r="Q100" s="35">
        <v>12636487</v>
      </c>
      <c r="R100" s="5" t="s">
        <v>3687</v>
      </c>
      <c r="S100" s="5">
        <f>S99-2</f>
        <v>469</v>
      </c>
      <c r="T100" s="5" t="s">
        <v>4599</v>
      </c>
      <c r="U100" s="168">
        <v>172.1</v>
      </c>
      <c r="V100" s="99">
        <f t="shared" si="33"/>
        <v>236.63419945205482</v>
      </c>
      <c r="W100" s="32">
        <f t="shared" si="34"/>
        <v>241.36688344109592</v>
      </c>
      <c r="X100" s="32">
        <f t="shared" si="35"/>
        <v>246.09956743013703</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7"/>
        <v>209440000</v>
      </c>
      <c r="M101" s="1">
        <f>N43+N26+N22</f>
        <v>1785650317.8</v>
      </c>
      <c r="N101" s="113">
        <f t="shared" ref="N101:N105" si="38">L101-M101</f>
        <v>-1576210317.8</v>
      </c>
      <c r="P101" s="96"/>
      <c r="Q101" s="39">
        <v>11121445</v>
      </c>
      <c r="R101" s="5" t="s">
        <v>4602</v>
      </c>
      <c r="S101" s="5">
        <f>S100-3</f>
        <v>466</v>
      </c>
      <c r="T101" s="5" t="s">
        <v>4767</v>
      </c>
      <c r="U101" s="168">
        <v>171.8</v>
      </c>
      <c r="V101" s="99">
        <f t="shared" si="33"/>
        <v>235.82632986301374</v>
      </c>
      <c r="W101" s="32">
        <f t="shared" si="34"/>
        <v>240.54285646027401</v>
      </c>
      <c r="X101" s="32">
        <f t="shared" si="35"/>
        <v>245.25938305753431</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5408</v>
      </c>
      <c r="J102" s="214" t="s">
        <v>4379</v>
      </c>
      <c r="K102" s="199">
        <v>5</v>
      </c>
      <c r="L102" s="215">
        <f t="shared" si="37"/>
        <v>37400000</v>
      </c>
      <c r="M102" s="215">
        <f>N42+N23</f>
        <v>319319213.19999999</v>
      </c>
      <c r="N102" s="183">
        <f t="shared" si="38"/>
        <v>-281919213.19999999</v>
      </c>
      <c r="P102" s="96"/>
      <c r="Q102" s="169">
        <v>6150141</v>
      </c>
      <c r="R102" s="213" t="s">
        <v>4842</v>
      </c>
      <c r="S102" s="213">
        <f>S101-79</f>
        <v>387</v>
      </c>
      <c r="T102" s="213" t="s">
        <v>4848</v>
      </c>
      <c r="U102" s="213">
        <v>180.6</v>
      </c>
      <c r="V102" s="99">
        <f t="shared" si="33"/>
        <v>236.96105424657537</v>
      </c>
      <c r="W102" s="32">
        <f t="shared" ref="W102:W106" si="39">V102*(1+$W$19/100)</f>
        <v>241.70027533150687</v>
      </c>
      <c r="X102" s="32">
        <f t="shared" ref="X102:X106" si="40">V102*(1+$X$19/100)</f>
        <v>246.4394964164384</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5409</v>
      </c>
      <c r="K103" s="189">
        <v>0</v>
      </c>
      <c r="L103" s="282">
        <f t="shared" si="37"/>
        <v>0</v>
      </c>
      <c r="M103" s="282">
        <f>N20+N25+N38</f>
        <v>1316</v>
      </c>
      <c r="N103" s="188">
        <f>L103-M103</f>
        <v>-1316</v>
      </c>
      <c r="P103" s="96"/>
      <c r="Q103" s="169">
        <v>1399908</v>
      </c>
      <c r="R103" s="213" t="s">
        <v>4910</v>
      </c>
      <c r="S103" s="213">
        <f>S102-20</f>
        <v>367</v>
      </c>
      <c r="T103" s="213" t="s">
        <v>4911</v>
      </c>
      <c r="U103" s="213">
        <v>194</v>
      </c>
      <c r="V103" s="99">
        <f t="shared" si="33"/>
        <v>251.56644383561647</v>
      </c>
      <c r="W103" s="32">
        <f t="shared" si="39"/>
        <v>256.59777271232878</v>
      </c>
      <c r="X103" s="32">
        <f t="shared" si="40"/>
        <v>261.62910158904111</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7480000</v>
      </c>
      <c r="M104" s="215">
        <v>0</v>
      </c>
      <c r="N104" s="183">
        <f>L104-M104</f>
        <v>7480000</v>
      </c>
      <c r="Q104" s="169">
        <v>1204033</v>
      </c>
      <c r="R104" s="213" t="s">
        <v>4920</v>
      </c>
      <c r="S104" s="213">
        <f>S103-7</f>
        <v>360</v>
      </c>
      <c r="T104" s="213" t="s">
        <v>4923</v>
      </c>
      <c r="U104" s="213">
        <v>218.5</v>
      </c>
      <c r="V104" s="99">
        <f t="shared" si="33"/>
        <v>282.16311780821923</v>
      </c>
      <c r="W104" s="32">
        <f t="shared" si="39"/>
        <v>287.8063801643836</v>
      </c>
      <c r="X104" s="32">
        <f t="shared" si="40"/>
        <v>293.44964252054803</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5545</v>
      </c>
      <c r="K105" s="191">
        <v>541</v>
      </c>
      <c r="L105" s="254">
        <f t="shared" si="37"/>
        <v>4046680000</v>
      </c>
      <c r="M105" s="254">
        <v>0</v>
      </c>
      <c r="N105" s="86">
        <f t="shared" si="38"/>
        <v>4046680000</v>
      </c>
      <c r="Q105" s="169">
        <v>8382674</v>
      </c>
      <c r="R105" s="213" t="s">
        <v>4930</v>
      </c>
      <c r="S105" s="213">
        <f>S104-7</f>
        <v>353</v>
      </c>
      <c r="T105" s="213" t="s">
        <v>4936</v>
      </c>
      <c r="U105" s="213">
        <v>192</v>
      </c>
      <c r="V105" s="99">
        <f t="shared" si="33"/>
        <v>246.91094794520549</v>
      </c>
      <c r="W105" s="32">
        <f t="shared" si="39"/>
        <v>251.84916690410961</v>
      </c>
      <c r="X105" s="32">
        <f t="shared" si="40"/>
        <v>256.7873858630137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344</v>
      </c>
      <c r="T106" s="213" t="s">
        <v>5583</v>
      </c>
      <c r="U106" s="213">
        <v>193.6</v>
      </c>
      <c r="V106" s="99">
        <f t="shared" si="33"/>
        <v>247.63190356164387</v>
      </c>
      <c r="W106" s="32">
        <f t="shared" si="39"/>
        <v>252.58454163287675</v>
      </c>
      <c r="X106" s="32">
        <f t="shared" si="40"/>
        <v>257.53717970410963</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785</v>
      </c>
      <c r="L107" s="215"/>
      <c r="M107" s="215"/>
      <c r="N107" s="183"/>
      <c r="Q107" s="169">
        <v>7032.8</v>
      </c>
      <c r="R107" s="213" t="s">
        <v>5329</v>
      </c>
      <c r="S107" s="213">
        <f>S106-240</f>
        <v>104</v>
      </c>
      <c r="T107" s="213" t="s">
        <v>5337</v>
      </c>
      <c r="U107" s="213">
        <v>7001.1</v>
      </c>
      <c r="V107" s="99">
        <f t="shared" si="33"/>
        <v>7666.0702323287678</v>
      </c>
      <c r="W107" s="32">
        <f t="shared" ref="W107:W114" si="41">V107*(1+$W$19/100)</f>
        <v>7819.3916369753433</v>
      </c>
      <c r="X107" s="32">
        <f t="shared" ref="X107:X114" si="42">V107*(1+$X$19/100)</f>
        <v>7972.7130416219188</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7480000</v>
      </c>
      <c r="M108" s="1">
        <f>K108*L108</f>
        <v>0</v>
      </c>
      <c r="N108" s="113">
        <f>SUM(N100:N106)-M108</f>
        <v>-896279.19999980927</v>
      </c>
      <c r="P108" s="114"/>
      <c r="Q108" s="169">
        <v>4038752</v>
      </c>
      <c r="R108" s="213" t="s">
        <v>5342</v>
      </c>
      <c r="S108" s="213">
        <f>S107-6</f>
        <v>98</v>
      </c>
      <c r="T108" s="213" t="s">
        <v>5343</v>
      </c>
      <c r="U108" s="213">
        <v>7310</v>
      </c>
      <c r="V108" s="99">
        <f t="shared" si="33"/>
        <v>7970.6637808219193</v>
      </c>
      <c r="W108" s="32">
        <f t="shared" si="41"/>
        <v>8130.0770564383574</v>
      </c>
      <c r="X108" s="32">
        <f t="shared" si="42"/>
        <v>8289.4903320547965</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93</v>
      </c>
      <c r="T109" s="213" t="s">
        <v>5352</v>
      </c>
      <c r="U109" s="213">
        <v>7236.3</v>
      </c>
      <c r="V109" s="99">
        <f t="shared" si="33"/>
        <v>7862.5472449315084</v>
      </c>
      <c r="W109" s="32">
        <f t="shared" si="41"/>
        <v>8019.7981898301387</v>
      </c>
      <c r="X109" s="32">
        <f t="shared" si="42"/>
        <v>8177.0491347287689</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5353</v>
      </c>
      <c r="S110" s="213">
        <f>S109-1</f>
        <v>92</v>
      </c>
      <c r="T110" s="213" t="s">
        <v>5354</v>
      </c>
      <c r="U110" s="213">
        <v>7097.9</v>
      </c>
      <c r="V110" s="99">
        <f t="shared" si="33"/>
        <v>7706.7248032876714</v>
      </c>
      <c r="W110" s="32">
        <f t="shared" si="41"/>
        <v>7860.8592993534248</v>
      </c>
      <c r="X110" s="32">
        <f t="shared" si="42"/>
        <v>8014.9937954191782</v>
      </c>
      <c r="AH110" s="99">
        <v>90</v>
      </c>
      <c r="AI110" s="113" t="s">
        <v>4563</v>
      </c>
      <c r="AJ110" s="113">
        <v>-5241937</v>
      </c>
      <c r="AK110" s="99">
        <v>0</v>
      </c>
      <c r="AL110" s="99">
        <f t="shared" si="36"/>
        <v>406</v>
      </c>
      <c r="AM110" s="117">
        <f t="shared" si="11"/>
        <v>-2128226422</v>
      </c>
      <c r="AN110" s="99"/>
    </row>
    <row r="111" spans="4:47">
      <c r="M111" t="s">
        <v>25</v>
      </c>
      <c r="Q111" s="169">
        <v>7802773</v>
      </c>
      <c r="R111" s="213" t="s">
        <v>5358</v>
      </c>
      <c r="S111" s="213">
        <f>S110-1</f>
        <v>91</v>
      </c>
      <c r="T111" s="213" t="s">
        <v>5360</v>
      </c>
      <c r="U111" s="213">
        <v>7100.1</v>
      </c>
      <c r="V111" s="99">
        <f t="shared" si="33"/>
        <v>7703.6668569863023</v>
      </c>
      <c r="W111" s="32">
        <f t="shared" si="41"/>
        <v>7857.7401941260287</v>
      </c>
      <c r="X111" s="32">
        <f t="shared" si="42"/>
        <v>8011.813531265755</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5361</v>
      </c>
      <c r="S112" s="213">
        <f>S111-4</f>
        <v>87</v>
      </c>
      <c r="T112" s="213" t="s">
        <v>5362</v>
      </c>
      <c r="U112" s="213">
        <v>6980.8</v>
      </c>
      <c r="V112" s="99">
        <f t="shared" si="33"/>
        <v>7552.8048394520556</v>
      </c>
      <c r="W112" s="32">
        <f t="shared" si="41"/>
        <v>7703.8609362410971</v>
      </c>
      <c r="X112" s="32">
        <f t="shared" si="42"/>
        <v>7854.9170330301376</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85</v>
      </c>
      <c r="T113" s="213" t="s">
        <v>5370</v>
      </c>
      <c r="U113" s="213">
        <v>7092.5</v>
      </c>
      <c r="V113" s="99">
        <f t="shared" si="33"/>
        <v>7662.7758630136987</v>
      </c>
      <c r="W113" s="32">
        <f t="shared" si="41"/>
        <v>7816.0313802739729</v>
      </c>
      <c r="X113" s="32">
        <f t="shared" si="42"/>
        <v>7969.2868975342471</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5371</v>
      </c>
      <c r="S114" s="213">
        <f>S113-1</f>
        <v>84</v>
      </c>
      <c r="T114" s="213" t="s">
        <v>5387</v>
      </c>
      <c r="U114" s="213">
        <v>6923.5</v>
      </c>
      <c r="V114" s="99">
        <f t="shared" si="33"/>
        <v>7474.8761589041105</v>
      </c>
      <c r="W114" s="32">
        <f t="shared" si="41"/>
        <v>7624.3736820821932</v>
      </c>
      <c r="X114" s="32">
        <f t="shared" si="42"/>
        <v>7773.871205260275</v>
      </c>
      <c r="Y114" t="s">
        <v>25</v>
      </c>
      <c r="AH114" s="99">
        <v>94</v>
      </c>
      <c r="AI114" s="113" t="s">
        <v>4575</v>
      </c>
      <c r="AJ114" s="113">
        <v>-2103736</v>
      </c>
      <c r="AK114" s="99">
        <v>0</v>
      </c>
      <c r="AL114" s="99">
        <f t="shared" si="36"/>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3"/>
        <v>331.63636363636363</v>
      </c>
      <c r="Q115" s="169">
        <v>6908862</v>
      </c>
      <c r="R115" s="213" t="s">
        <v>5385</v>
      </c>
      <c r="S115" s="213">
        <f>S114-11</f>
        <v>73</v>
      </c>
      <c r="T115" s="213" t="s">
        <v>5395</v>
      </c>
      <c r="U115" s="213">
        <v>7301.1</v>
      </c>
      <c r="V115" s="99">
        <f t="shared" si="33"/>
        <v>7820.9383200000011</v>
      </c>
      <c r="W115" s="32">
        <f t="shared" ref="W115:W117" si="44">V115*(1+$W$19/100)</f>
        <v>7977.3570864000012</v>
      </c>
      <c r="X115" s="32">
        <f t="shared" ref="X115:X117" si="45">V115*(1+$X$19/100)</f>
        <v>8133.7758528000013</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5396</v>
      </c>
      <c r="S116" s="213">
        <f>S115-1</f>
        <v>72</v>
      </c>
      <c r="T116" s="213" t="s">
        <v>5401</v>
      </c>
      <c r="U116" s="213">
        <v>7372.4</v>
      </c>
      <c r="V116" s="99">
        <f t="shared" si="33"/>
        <v>7891.6593402739727</v>
      </c>
      <c r="W116" s="32">
        <f t="shared" si="44"/>
        <v>8049.492527079452</v>
      </c>
      <c r="X116" s="32">
        <f t="shared" si="45"/>
        <v>8207.3257138849312</v>
      </c>
      <c r="Y116">
        <v>23000</v>
      </c>
      <c r="AH116" s="99">
        <v>96</v>
      </c>
      <c r="AI116" s="113" t="s">
        <v>4584</v>
      </c>
      <c r="AJ116" s="113">
        <v>4000000</v>
      </c>
      <c r="AK116" s="99">
        <v>1</v>
      </c>
      <c r="AL116" s="99">
        <f t="shared" si="36"/>
        <v>400</v>
      </c>
      <c r="AM116" s="117">
        <f t="shared" si="11"/>
        <v>1600000000</v>
      </c>
      <c r="AN116" s="99"/>
    </row>
    <row r="117" spans="6:46">
      <c r="F117" s="96"/>
      <c r="G117" s="1">
        <f>P45</f>
        <v>1041.9000000000001</v>
      </c>
      <c r="H117" s="213" t="s">
        <v>4233</v>
      </c>
      <c r="I117" s="213">
        <v>241029</v>
      </c>
      <c r="J117" s="1">
        <f>I117*G117</f>
        <v>251128115.10000002</v>
      </c>
      <c r="K117" s="19" t="s">
        <v>4379</v>
      </c>
      <c r="L117" s="169">
        <v>1100000</v>
      </c>
      <c r="M117" s="169">
        <v>4300000</v>
      </c>
      <c r="N117" s="168">
        <f t="shared" si="43"/>
        <v>290.90909090909093</v>
      </c>
      <c r="Q117" s="169">
        <v>25972060</v>
      </c>
      <c r="R117" s="213" t="s">
        <v>5410</v>
      </c>
      <c r="S117" s="213">
        <f>S116-3</f>
        <v>69</v>
      </c>
      <c r="T117" s="213" t="s">
        <v>5509</v>
      </c>
      <c r="U117" s="213">
        <v>7557.6</v>
      </c>
      <c r="V117" s="99">
        <f t="shared" si="33"/>
        <v>8072.5106761643847</v>
      </c>
      <c r="W117" s="32">
        <f t="shared" si="44"/>
        <v>8233.9608896876725</v>
      </c>
      <c r="X117" s="32">
        <f t="shared" si="45"/>
        <v>8395.4111032109595</v>
      </c>
      <c r="Y117">
        <v>6000</v>
      </c>
      <c r="AH117" s="99">
        <v>97</v>
      </c>
      <c r="AI117" s="113" t="s">
        <v>4589</v>
      </c>
      <c r="AJ117" s="113">
        <v>-9000000</v>
      </c>
      <c r="AK117" s="99">
        <v>0</v>
      </c>
      <c r="AL117" s="99">
        <f t="shared" si="36"/>
        <v>399</v>
      </c>
      <c r="AM117" s="117">
        <f t="shared" si="11"/>
        <v>-3591000000</v>
      </c>
      <c r="AN117" s="99"/>
      <c r="AP117" t="s">
        <v>25</v>
      </c>
    </row>
    <row r="118" spans="6:46">
      <c r="F118" s="96"/>
      <c r="G118" s="1">
        <f>P43</f>
        <v>12365.4</v>
      </c>
      <c r="H118" s="213" t="s">
        <v>4383</v>
      </c>
      <c r="I118" s="213">
        <v>2535</v>
      </c>
      <c r="J118" s="1">
        <f t="shared" ref="J118" si="46">I118*G118</f>
        <v>31346289</v>
      </c>
      <c r="K118" s="5" t="s">
        <v>4397</v>
      </c>
      <c r="L118" s="169">
        <v>1100000</v>
      </c>
      <c r="M118" s="169">
        <v>3191000</v>
      </c>
      <c r="N118" s="168">
        <f t="shared" si="43"/>
        <v>190.09090909090909</v>
      </c>
      <c r="Q118" s="169">
        <v>29717771</v>
      </c>
      <c r="R118" s="213" t="s">
        <v>5510</v>
      </c>
      <c r="S118" s="213">
        <f>S117-40</f>
        <v>29</v>
      </c>
      <c r="T118" s="213" t="s">
        <v>5512</v>
      </c>
      <c r="U118" s="213">
        <v>7159.6</v>
      </c>
      <c r="V118" s="99">
        <f t="shared" ref="V118:V145" si="47">U118*(1+$R$82+$Q$15*S118/36500)</f>
        <v>7427.702500821918</v>
      </c>
      <c r="W118" s="32">
        <f t="shared" ref="W118:W120" si="48">V118*(1+$W$19/100)</f>
        <v>7576.2565508383568</v>
      </c>
      <c r="X118" s="32">
        <f t="shared" ref="X118:X120" si="49">V118*(1+$X$19/100)</f>
        <v>7724.8106008547948</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5518</v>
      </c>
      <c r="S119" s="213">
        <f>S118-8</f>
        <v>21</v>
      </c>
      <c r="T119" s="213" t="s">
        <v>5519</v>
      </c>
      <c r="U119" s="213">
        <v>7601</v>
      </c>
      <c r="V119" s="99">
        <f t="shared" si="47"/>
        <v>7838.9841863013698</v>
      </c>
      <c r="W119" s="32">
        <f t="shared" si="48"/>
        <v>7995.7638700273974</v>
      </c>
      <c r="X119" s="32">
        <f t="shared" si="49"/>
        <v>8152.5435537534249</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202551989.10000002</v>
      </c>
      <c r="J120" s="1">
        <f>SUM(J117:J119)</f>
        <v>282474404.10000002</v>
      </c>
      <c r="K120" s="19" t="s">
        <v>4383</v>
      </c>
      <c r="L120" s="169">
        <v>1100000</v>
      </c>
      <c r="M120" s="169">
        <v>7728000</v>
      </c>
      <c r="N120" s="168">
        <f t="shared" si="43"/>
        <v>602.5454545454545</v>
      </c>
      <c r="Q120" s="169">
        <v>2612032</v>
      </c>
      <c r="R120" s="213" t="s">
        <v>5523</v>
      </c>
      <c r="S120" s="213">
        <f>S119-4</f>
        <v>17</v>
      </c>
      <c r="T120" s="213" t="s">
        <v>5524</v>
      </c>
      <c r="U120" s="213">
        <v>8000.7</v>
      </c>
      <c r="V120" s="99">
        <f t="shared" si="47"/>
        <v>8226.6485358904119</v>
      </c>
      <c r="W120" s="32">
        <f t="shared" si="48"/>
        <v>8391.1815066082199</v>
      </c>
      <c r="X120" s="32">
        <f t="shared" si="49"/>
        <v>8555.7144773260279</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5527</v>
      </c>
      <c r="S121" s="213">
        <f>S120-2</f>
        <v>15</v>
      </c>
      <c r="T121" s="213" t="s">
        <v>5530</v>
      </c>
      <c r="U121" s="213">
        <v>8485.7999999999993</v>
      </c>
      <c r="V121" s="99">
        <f t="shared" si="47"/>
        <v>8712.4289819178084</v>
      </c>
      <c r="W121" s="32">
        <f t="shared" ref="W121:W130" si="50">V121*(1+$W$19/100)</f>
        <v>8886.6775615561655</v>
      </c>
      <c r="X121" s="32">
        <f t="shared" ref="X121:X130" si="51">V121*(1+$X$19/100)</f>
        <v>9060.9261411945208</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Q122" s="169">
        <v>17185077</v>
      </c>
      <c r="R122" s="213" t="s">
        <v>5528</v>
      </c>
      <c r="S122" s="213">
        <f>S121-1</f>
        <v>14</v>
      </c>
      <c r="T122" s="213" t="s">
        <v>5535</v>
      </c>
      <c r="U122" s="213">
        <v>8377.7999999999993</v>
      </c>
      <c r="V122" s="99">
        <f t="shared" si="47"/>
        <v>8595.1178367123302</v>
      </c>
      <c r="W122" s="32">
        <f t="shared" si="50"/>
        <v>8767.0201934465767</v>
      </c>
      <c r="X122" s="32">
        <f t="shared" si="51"/>
        <v>8938.9225501808232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5355</v>
      </c>
      <c r="J123" s="1">
        <v>16319143</v>
      </c>
      <c r="K123" s="240" t="s">
        <v>5480</v>
      </c>
      <c r="Q123" s="169">
        <v>83684098</v>
      </c>
      <c r="R123" s="213" t="s">
        <v>5532</v>
      </c>
      <c r="S123" s="213">
        <f>S122-1</f>
        <v>13</v>
      </c>
      <c r="T123" s="213" t="s">
        <v>5536</v>
      </c>
      <c r="U123" s="213">
        <v>8337.2999999999993</v>
      </c>
      <c r="V123" s="99">
        <f t="shared" si="47"/>
        <v>8547.171540821917</v>
      </c>
      <c r="W123" s="32">
        <f t="shared" si="50"/>
        <v>8718.1149716383552</v>
      </c>
      <c r="X123" s="32">
        <f t="shared" si="51"/>
        <v>8889.0584024547934</v>
      </c>
      <c r="Y123" t="s">
        <v>25</v>
      </c>
      <c r="AH123" s="89">
        <v>103</v>
      </c>
      <c r="AI123" s="90" t="s">
        <v>4606</v>
      </c>
      <c r="AJ123" s="90">
        <v>16727037</v>
      </c>
      <c r="AK123" s="89">
        <v>0</v>
      </c>
      <c r="AL123" s="89">
        <f t="shared" si="52"/>
        <v>392</v>
      </c>
      <c r="AM123" s="90">
        <f t="shared" si="53"/>
        <v>6556998504</v>
      </c>
      <c r="AN123" s="89" t="s">
        <v>4613</v>
      </c>
    </row>
    <row r="124" spans="6:46">
      <c r="G124" s="1">
        <f>P45</f>
        <v>1041.9000000000001</v>
      </c>
      <c r="H124" s="213" t="s">
        <v>4233</v>
      </c>
      <c r="I124" s="213">
        <v>68595</v>
      </c>
      <c r="J124" s="1">
        <f>G124*I124</f>
        <v>71469130.5</v>
      </c>
      <c r="K124" s="240" t="s">
        <v>4552</v>
      </c>
      <c r="Q124" s="169">
        <v>36451986</v>
      </c>
      <c r="R124" s="213" t="s">
        <v>5541</v>
      </c>
      <c r="S124" s="213">
        <f>S123-3</f>
        <v>10</v>
      </c>
      <c r="T124" s="213" t="s">
        <v>5542</v>
      </c>
      <c r="U124" s="213">
        <v>8280.2000000000007</v>
      </c>
      <c r="V124" s="99">
        <f t="shared" si="47"/>
        <v>8469.5783824657556</v>
      </c>
      <c r="W124" s="32">
        <f t="shared" si="50"/>
        <v>8638.9699501150717</v>
      </c>
      <c r="X124" s="32">
        <f t="shared" si="51"/>
        <v>8808.361517764386</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5541</v>
      </c>
      <c r="S125" s="213">
        <f>S124</f>
        <v>10</v>
      </c>
      <c r="T125" s="213" t="s">
        <v>5543</v>
      </c>
      <c r="U125" s="213">
        <v>8758.5</v>
      </c>
      <c r="V125" s="99">
        <f t="shared" si="47"/>
        <v>8958.817693150686</v>
      </c>
      <c r="W125" s="32">
        <f t="shared" si="50"/>
        <v>9137.9940470136989</v>
      </c>
      <c r="X125" s="32">
        <f t="shared" si="51"/>
        <v>9317.1704008767138</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55149987.5</v>
      </c>
      <c r="J126" s="1">
        <f>SUM(J124:J125)</f>
        <v>71469130.5</v>
      </c>
      <c r="Q126" s="169">
        <v>17151614</v>
      </c>
      <c r="R126" s="213" t="s">
        <v>5546</v>
      </c>
      <c r="S126" s="213">
        <f>S125-1</f>
        <v>9</v>
      </c>
      <c r="T126" s="213" t="s">
        <v>5547</v>
      </c>
      <c r="U126" s="213">
        <v>8536.2000000000007</v>
      </c>
      <c r="V126" s="99">
        <f t="shared" si="47"/>
        <v>8724.8851002739757</v>
      </c>
      <c r="W126" s="32">
        <f t="shared" si="50"/>
        <v>8899.3828022794551</v>
      </c>
      <c r="X126" s="32">
        <f t="shared" si="51"/>
        <v>9073.8805042849344</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5546</v>
      </c>
      <c r="S127" s="213">
        <f>S126</f>
        <v>9</v>
      </c>
      <c r="T127" s="213" t="s">
        <v>5548</v>
      </c>
      <c r="U127" s="213">
        <v>9036.6</v>
      </c>
      <c r="V127" s="99">
        <f t="shared" si="47"/>
        <v>9236.3459967123308</v>
      </c>
      <c r="W127" s="32">
        <f t="shared" si="50"/>
        <v>9421.0729166465771</v>
      </c>
      <c r="X127" s="32">
        <f t="shared" si="51"/>
        <v>9605.7998365808253</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5551</v>
      </c>
      <c r="S128" s="213">
        <f>S127-1</f>
        <v>8</v>
      </c>
      <c r="T128" s="213" t="s">
        <v>5552</v>
      </c>
      <c r="U128" s="213">
        <v>8938</v>
      </c>
      <c r="V128" s="99">
        <f t="shared" si="47"/>
        <v>9128.7099835616445</v>
      </c>
      <c r="W128" s="32">
        <f t="shared" si="50"/>
        <v>9311.2841832328777</v>
      </c>
      <c r="X128" s="32">
        <f t="shared" si="51"/>
        <v>9493.8583829041108</v>
      </c>
      <c r="AH128" s="89">
        <v>108</v>
      </c>
      <c r="AI128" s="90" t="s">
        <v>4612</v>
      </c>
      <c r="AJ128" s="90">
        <v>39327293</v>
      </c>
      <c r="AK128" s="89">
        <v>4</v>
      </c>
      <c r="AL128" s="149">
        <f t="shared" si="54"/>
        <v>390</v>
      </c>
      <c r="AM128" s="188">
        <f t="shared" si="53"/>
        <v>15337644270</v>
      </c>
      <c r="AN128" s="89" t="s">
        <v>4621</v>
      </c>
    </row>
    <row r="129" spans="7:43">
      <c r="G129" s="213"/>
      <c r="H129" s="213" t="s">
        <v>5245</v>
      </c>
      <c r="I129" s="213" t="s">
        <v>5149</v>
      </c>
      <c r="J129" s="1">
        <v>19795000</v>
      </c>
      <c r="Q129" s="169">
        <v>70181612</v>
      </c>
      <c r="R129" s="213" t="s">
        <v>5551</v>
      </c>
      <c r="S129" s="213">
        <f>S128</f>
        <v>8</v>
      </c>
      <c r="T129" s="213" t="s">
        <v>5553</v>
      </c>
      <c r="U129" s="213">
        <v>8497.4</v>
      </c>
      <c r="V129" s="99">
        <f t="shared" si="47"/>
        <v>8678.7089073972602</v>
      </c>
      <c r="W129" s="32">
        <f t="shared" si="50"/>
        <v>8852.2830855452048</v>
      </c>
      <c r="X129" s="32">
        <f t="shared" si="51"/>
        <v>9025.8572636931513</v>
      </c>
      <c r="Y129" t="s">
        <v>25</v>
      </c>
      <c r="Z129" t="s">
        <v>25</v>
      </c>
      <c r="AH129" s="89">
        <v>109</v>
      </c>
      <c r="AI129" s="90" t="s">
        <v>4635</v>
      </c>
      <c r="AJ129" s="90">
        <v>8749050</v>
      </c>
      <c r="AK129" s="89">
        <v>1</v>
      </c>
      <c r="AL129" s="89">
        <f t="shared" si="54"/>
        <v>386</v>
      </c>
      <c r="AM129" s="90">
        <f t="shared" si="53"/>
        <v>3377133300</v>
      </c>
      <c r="AN129" s="89" t="s">
        <v>4636</v>
      </c>
    </row>
    <row r="130" spans="7:43">
      <c r="G130" s="1">
        <f>P45</f>
        <v>1041.9000000000001</v>
      </c>
      <c r="H130" s="213" t="s">
        <v>4233</v>
      </c>
      <c r="I130" s="213">
        <v>46582</v>
      </c>
      <c r="J130" s="1">
        <f>G130*I130</f>
        <v>48533785.800000004</v>
      </c>
      <c r="K130" t="s">
        <v>25</v>
      </c>
      <c r="Q130" s="169">
        <v>7775139</v>
      </c>
      <c r="R130" s="213" t="s">
        <v>5555</v>
      </c>
      <c r="S130" s="213">
        <f>S129-1</f>
        <v>7</v>
      </c>
      <c r="T130" s="213" t="s">
        <v>5556</v>
      </c>
      <c r="U130" s="213">
        <v>9000</v>
      </c>
      <c r="V130" s="99">
        <f t="shared" si="47"/>
        <v>9185.1287671232894</v>
      </c>
      <c r="W130" s="32">
        <f t="shared" si="50"/>
        <v>9368.8313424657554</v>
      </c>
      <c r="X130" s="32">
        <f t="shared" si="51"/>
        <v>9552.5339178082213</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9243589</v>
      </c>
      <c r="R131" s="213" t="s">
        <v>5567</v>
      </c>
      <c r="S131" s="213">
        <f>S130-5</f>
        <v>2</v>
      </c>
      <c r="T131" s="213" t="s">
        <v>5570</v>
      </c>
      <c r="U131" s="213">
        <v>9544.5</v>
      </c>
      <c r="V131" s="99">
        <f t="shared" si="47"/>
        <v>9704.2200164383576</v>
      </c>
      <c r="W131" s="32">
        <f t="shared" ref="W131:W134" si="55">V131*(1+$W$19/100)</f>
        <v>9898.3044167671251</v>
      </c>
      <c r="X131" s="32">
        <f t="shared" ref="X131:X134" si="56">V131*(1+$X$19/100)</f>
        <v>10092.388817095893</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38738785.800000004</v>
      </c>
      <c r="J132" s="1">
        <f>SUM(J130:J131)</f>
        <v>58533785.800000004</v>
      </c>
      <c r="K132" t="s">
        <v>25</v>
      </c>
      <c r="P132" t="s">
        <v>25</v>
      </c>
      <c r="Q132" s="169">
        <v>17698385</v>
      </c>
      <c r="R132" s="213" t="s">
        <v>5567</v>
      </c>
      <c r="S132" s="213">
        <f>S131</f>
        <v>2</v>
      </c>
      <c r="T132" s="213" t="s">
        <v>5568</v>
      </c>
      <c r="U132" s="213">
        <v>9713</v>
      </c>
      <c r="V132" s="99">
        <f t="shared" si="47"/>
        <v>9875.5397369863022</v>
      </c>
      <c r="W132" s="32">
        <f t="shared" si="55"/>
        <v>10073.050531726029</v>
      </c>
      <c r="X132" s="32">
        <f t="shared" si="56"/>
        <v>10270.561326465755</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5569</v>
      </c>
      <c r="S133" s="213">
        <f>S132-2</f>
        <v>0</v>
      </c>
      <c r="T133" s="213" t="s">
        <v>5578</v>
      </c>
      <c r="U133" s="213">
        <v>10396.200000000001</v>
      </c>
      <c r="V133" s="99">
        <f t="shared" si="47"/>
        <v>10554.222240000001</v>
      </c>
      <c r="W133" s="32">
        <f t="shared" si="55"/>
        <v>10765.306684800002</v>
      </c>
      <c r="X133" s="32">
        <f t="shared" si="56"/>
        <v>10976.391129600001</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5569</v>
      </c>
      <c r="S134" s="213">
        <f>S133</f>
        <v>0</v>
      </c>
      <c r="T134" s="213" t="s">
        <v>5580</v>
      </c>
      <c r="U134" s="213">
        <v>10640</v>
      </c>
      <c r="V134" s="99">
        <f t="shared" si="47"/>
        <v>10801.728000000001</v>
      </c>
      <c r="W134" s="32">
        <f t="shared" si="55"/>
        <v>11017.762560000001</v>
      </c>
      <c r="X134" s="32">
        <f t="shared" si="56"/>
        <v>11233.797120000001</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5481</v>
      </c>
      <c r="I135" s="213" t="s">
        <v>5612</v>
      </c>
      <c r="J135" s="1">
        <v>100000000</v>
      </c>
      <c r="K135" t="s">
        <v>25</v>
      </c>
      <c r="Q135" s="169">
        <v>413219408</v>
      </c>
      <c r="R135" s="213" t="s">
        <v>5407</v>
      </c>
      <c r="S135" s="213">
        <f>S134-6</f>
        <v>-6</v>
      </c>
      <c r="T135" s="213" t="s">
        <v>5621</v>
      </c>
      <c r="U135" s="213">
        <v>12494</v>
      </c>
      <c r="V135" s="99">
        <f t="shared" si="47"/>
        <v>12626.402169863017</v>
      </c>
      <c r="W135" s="32">
        <f t="shared" ref="W135:W145" si="57">V135*(1+$W$19/100)</f>
        <v>12878.930213260277</v>
      </c>
      <c r="X135" s="32">
        <f t="shared" ref="X135:X145" si="58">V135*(1+$X$19/100)</f>
        <v>13131.458256657537</v>
      </c>
      <c r="AH135" s="20">
        <v>115</v>
      </c>
      <c r="AI135" s="117" t="s">
        <v>4648</v>
      </c>
      <c r="AJ135" s="117">
        <v>404000</v>
      </c>
      <c r="AK135" s="20">
        <v>5</v>
      </c>
      <c r="AL135" s="99">
        <f t="shared" si="54"/>
        <v>383</v>
      </c>
      <c r="AM135" s="117">
        <f t="shared" si="53"/>
        <v>154732000</v>
      </c>
      <c r="AN135" s="20" t="s">
        <v>4655</v>
      </c>
    </row>
    <row r="136" spans="7:43">
      <c r="G136" s="1">
        <f>P45</f>
        <v>1041.9000000000001</v>
      </c>
      <c r="H136" s="213" t="s">
        <v>4233</v>
      </c>
      <c r="I136" s="213">
        <v>180008</v>
      </c>
      <c r="J136" s="1">
        <f>G136*I136</f>
        <v>187550335.20000002</v>
      </c>
      <c r="P136" t="s">
        <v>25</v>
      </c>
      <c r="Q136" s="169">
        <v>7224034</v>
      </c>
      <c r="R136" s="213" t="s">
        <v>5582</v>
      </c>
      <c r="S136" s="213">
        <f>S135-1</f>
        <v>-7</v>
      </c>
      <c r="T136" s="213" t="s">
        <v>5590</v>
      </c>
      <c r="U136" s="213">
        <v>1044.7</v>
      </c>
      <c r="V136" s="99">
        <f t="shared" si="47"/>
        <v>1054.9695441095892</v>
      </c>
      <c r="W136" s="32">
        <f t="shared" si="57"/>
        <v>1076.0689349917809</v>
      </c>
      <c r="X136" s="32">
        <f t="shared" si="58"/>
        <v>1097.1683258739727</v>
      </c>
      <c r="Y136" t="s">
        <v>25</v>
      </c>
      <c r="AH136" s="89">
        <v>116</v>
      </c>
      <c r="AI136" s="90" t="s">
        <v>4665</v>
      </c>
      <c r="AJ136" s="90">
        <v>4291628</v>
      </c>
      <c r="AK136" s="89">
        <v>2</v>
      </c>
      <c r="AL136" s="89">
        <f t="shared" si="54"/>
        <v>378</v>
      </c>
      <c r="AM136" s="90">
        <f t="shared" si="53"/>
        <v>1622235384</v>
      </c>
      <c r="AN136" s="89" t="s">
        <v>4666</v>
      </c>
    </row>
    <row r="137" spans="7:43">
      <c r="G137" s="1">
        <f>P43</f>
        <v>12365.4</v>
      </c>
      <c r="H137" s="213" t="s">
        <v>4383</v>
      </c>
      <c r="I137" s="213">
        <v>645</v>
      </c>
      <c r="J137" s="1">
        <f>G137*I137</f>
        <v>7975683</v>
      </c>
      <c r="Q137" s="169">
        <v>5032020</v>
      </c>
      <c r="R137" s="213" t="s">
        <v>5597</v>
      </c>
      <c r="S137" s="213">
        <f>S136-1</f>
        <v>-8</v>
      </c>
      <c r="T137" s="213" t="s">
        <v>5600</v>
      </c>
      <c r="U137" s="213">
        <v>1022.2</v>
      </c>
      <c r="V137" s="99">
        <f t="shared" si="47"/>
        <v>1031.46421260274</v>
      </c>
      <c r="W137" s="32">
        <f t="shared" si="57"/>
        <v>1052.0934968547947</v>
      </c>
      <c r="X137" s="32">
        <f t="shared" si="58"/>
        <v>1072.7227811068497</v>
      </c>
      <c r="Y137" t="s">
        <v>25</v>
      </c>
      <c r="Z137" t="s">
        <v>25</v>
      </c>
      <c r="AH137" s="20">
        <v>117</v>
      </c>
      <c r="AI137" s="117" t="s">
        <v>4668</v>
      </c>
      <c r="AJ137" s="117">
        <v>1000</v>
      </c>
      <c r="AK137" s="20">
        <v>5</v>
      </c>
      <c r="AL137" s="20">
        <f t="shared" si="54"/>
        <v>376</v>
      </c>
      <c r="AM137" s="117">
        <f t="shared" si="53"/>
        <v>376000</v>
      </c>
      <c r="AN137" s="20"/>
    </row>
    <row r="138" spans="7:43">
      <c r="G138" s="213">
        <v>1</v>
      </c>
      <c r="H138" s="213" t="s">
        <v>5611</v>
      </c>
      <c r="I138" s="213">
        <v>8820392</v>
      </c>
      <c r="J138" s="1">
        <f>G138*I138</f>
        <v>8820392</v>
      </c>
      <c r="Q138" s="169">
        <v>396521</v>
      </c>
      <c r="R138" s="213" t="s">
        <v>5604</v>
      </c>
      <c r="S138" s="213">
        <f>S137-4</f>
        <v>-12</v>
      </c>
      <c r="T138" s="213" t="s">
        <v>5605</v>
      </c>
      <c r="U138" s="213">
        <v>13610</v>
      </c>
      <c r="V138" s="99">
        <f t="shared" si="47"/>
        <v>13691.585424657535</v>
      </c>
      <c r="W138" s="32">
        <f t="shared" si="57"/>
        <v>13965.417133150686</v>
      </c>
      <c r="X138" s="32">
        <f t="shared" si="58"/>
        <v>14239.248841643837</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v>366871724</v>
      </c>
      <c r="R139" s="213" t="s">
        <v>5604</v>
      </c>
      <c r="S139" s="213">
        <f>S138</f>
        <v>-12</v>
      </c>
      <c r="T139" s="213" t="s">
        <v>5606</v>
      </c>
      <c r="U139" s="213">
        <v>1055</v>
      </c>
      <c r="V139" s="99">
        <f t="shared" si="47"/>
        <v>1061.3242191780823</v>
      </c>
      <c r="W139" s="32">
        <f t="shared" si="57"/>
        <v>1082.550703561644</v>
      </c>
      <c r="X139" s="32">
        <f t="shared" si="58"/>
        <v>1103.7771879452057</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v>115285681</v>
      </c>
      <c r="R140" s="213" t="s">
        <v>5616</v>
      </c>
      <c r="S140" s="213">
        <f>S139-1</f>
        <v>-13</v>
      </c>
      <c r="T140" s="213" t="s">
        <v>5620</v>
      </c>
      <c r="U140" s="213">
        <v>1034.5999999999999</v>
      </c>
      <c r="V140" s="99">
        <f t="shared" si="47"/>
        <v>1040.0082652054796</v>
      </c>
      <c r="W140" s="32">
        <f t="shared" si="57"/>
        <v>1060.8084305095892</v>
      </c>
      <c r="X140" s="32">
        <f t="shared" si="58"/>
        <v>1081.6085958136987</v>
      </c>
      <c r="Z140" t="s">
        <v>25</v>
      </c>
      <c r="AH140" s="121">
        <v>120</v>
      </c>
      <c r="AI140" s="79" t="s">
        <v>4678</v>
      </c>
      <c r="AJ140" s="79">
        <v>13335309</v>
      </c>
      <c r="AK140" s="121">
        <v>13</v>
      </c>
      <c r="AL140" s="121">
        <f t="shared" si="54"/>
        <v>368</v>
      </c>
      <c r="AM140" s="79">
        <f t="shared" si="53"/>
        <v>4907393712</v>
      </c>
      <c r="AN140" s="121" t="s">
        <v>4649</v>
      </c>
    </row>
    <row r="141" spans="7:43">
      <c r="G141" s="213"/>
      <c r="H141" s="113"/>
      <c r="I141" s="1">
        <f>J141-J135</f>
        <v>104346410.20000002</v>
      </c>
      <c r="J141" s="1">
        <f>SUM(J136:J138)</f>
        <v>204346410.20000002</v>
      </c>
      <c r="K141" s="96"/>
      <c r="Q141" s="169"/>
      <c r="R141" s="213"/>
      <c r="S141" s="213"/>
      <c r="T141" s="213"/>
      <c r="U141" s="213"/>
      <c r="V141" s="99"/>
      <c r="W141" s="32"/>
      <c r="X141" s="32"/>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c r="I142" s="213" t="s">
        <v>5610</v>
      </c>
      <c r="J142" s="213" t="s">
        <v>6</v>
      </c>
      <c r="K142" s="96"/>
      <c r="L142" s="96"/>
      <c r="Q142" s="169"/>
      <c r="R142" s="213"/>
      <c r="S142" s="213"/>
      <c r="T142" s="213"/>
      <c r="U142" s="213"/>
      <c r="V142" s="99"/>
      <c r="W142" s="32"/>
      <c r="X142" s="32"/>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s="114"/>
      <c r="Q143" s="169"/>
      <c r="R143" s="213"/>
      <c r="S143" s="213"/>
      <c r="T143" s="213"/>
      <c r="U143" s="213"/>
      <c r="V143" s="99"/>
      <c r="W143" s="32"/>
      <c r="X143" s="32"/>
      <c r="Y143" t="s">
        <v>25</v>
      </c>
      <c r="AH143" s="20">
        <v>123</v>
      </c>
      <c r="AI143" s="117" t="s">
        <v>4791</v>
      </c>
      <c r="AJ143" s="117">
        <v>600000</v>
      </c>
      <c r="AK143" s="20">
        <v>1</v>
      </c>
      <c r="AL143" s="20">
        <f t="shared" si="54"/>
        <v>341</v>
      </c>
      <c r="AM143" s="117">
        <f t="shared" si="53"/>
        <v>204600000</v>
      </c>
      <c r="AN143" s="20"/>
    </row>
    <row r="144" spans="7:43">
      <c r="Q144" s="169"/>
      <c r="R144" s="213"/>
      <c r="S144" s="213"/>
      <c r="T144" s="213"/>
      <c r="U144" s="213"/>
      <c r="V144" s="99">
        <f t="shared" si="47"/>
        <v>0</v>
      </c>
      <c r="W144" s="32">
        <f t="shared" si="57"/>
        <v>0</v>
      </c>
      <c r="X144" s="32">
        <f t="shared" si="58"/>
        <v>0</v>
      </c>
      <c r="Y144" t="s">
        <v>25</v>
      </c>
      <c r="AH144" s="20">
        <v>124</v>
      </c>
      <c r="AI144" s="117" t="s">
        <v>4794</v>
      </c>
      <c r="AJ144" s="117">
        <v>30000</v>
      </c>
      <c r="AK144" s="20">
        <v>3</v>
      </c>
      <c r="AL144" s="20">
        <f t="shared" si="54"/>
        <v>340</v>
      </c>
      <c r="AM144" s="117">
        <f t="shared" si="53"/>
        <v>10200000</v>
      </c>
      <c r="AN144" s="20"/>
    </row>
    <row r="145" spans="5:44">
      <c r="G145" s="99"/>
      <c r="H145" s="99"/>
      <c r="I145" s="99" t="s">
        <v>5594</v>
      </c>
      <c r="J145" s="1">
        <v>20000000</v>
      </c>
      <c r="K145" s="278"/>
      <c r="L145" s="291"/>
      <c r="Q145" s="169"/>
      <c r="R145" s="168"/>
      <c r="S145" s="168"/>
      <c r="T145" s="168"/>
      <c r="U145" s="168"/>
      <c r="V145" s="99">
        <f t="shared" si="47"/>
        <v>0</v>
      </c>
      <c r="W145" s="32">
        <f t="shared" si="57"/>
        <v>0</v>
      </c>
      <c r="X145" s="32">
        <f t="shared" si="58"/>
        <v>0</v>
      </c>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1041.9000000000001</v>
      </c>
      <c r="H146" s="99" t="s">
        <v>4233</v>
      </c>
      <c r="I146" s="99">
        <v>30054</v>
      </c>
      <c r="J146" s="1">
        <f>G146*I146</f>
        <v>31313262.600000001</v>
      </c>
      <c r="Q146" s="113">
        <f>SUM(N40:N47)-SUM(Q86:Q145)</f>
        <v>1924965347.8999999</v>
      </c>
      <c r="R146" s="112"/>
      <c r="S146" s="112"/>
      <c r="T146" s="112"/>
      <c r="U146" s="168"/>
      <c r="V146" s="99" t="s">
        <v>25</v>
      </c>
      <c r="W146" s="32"/>
      <c r="X146" s="32"/>
      <c r="AH146" s="23">
        <v>126</v>
      </c>
      <c r="AI146" s="35" t="s">
        <v>4805</v>
      </c>
      <c r="AJ146" s="35">
        <v>-31412200</v>
      </c>
      <c r="AK146" s="23">
        <v>1</v>
      </c>
      <c r="AL146" s="20">
        <f t="shared" si="54"/>
        <v>336</v>
      </c>
      <c r="AM146" s="35">
        <f t="shared" si="59"/>
        <v>-10554499200</v>
      </c>
      <c r="AN146" s="23" t="s">
        <v>4793</v>
      </c>
    </row>
    <row r="147" spans="5:44">
      <c r="G147" s="99">
        <f>P43</f>
        <v>12365.4</v>
      </c>
      <c r="H147" s="99" t="s">
        <v>4383</v>
      </c>
      <c r="I147" s="99">
        <v>1150</v>
      </c>
      <c r="J147" s="1">
        <f>G147*I147</f>
        <v>14220210</v>
      </c>
      <c r="K147" t="s">
        <v>25</v>
      </c>
      <c r="P147" t="s">
        <v>25</v>
      </c>
      <c r="Q147" s="26"/>
      <c r="R147" s="181"/>
      <c r="S147" s="181"/>
      <c r="T147" t="s">
        <v>25</v>
      </c>
      <c r="U147" s="96" t="s">
        <v>25</v>
      </c>
      <c r="V147" s="96" t="s">
        <v>25</v>
      </c>
      <c r="W147" s="96" t="s">
        <v>25</v>
      </c>
      <c r="Z147" s="96"/>
      <c r="AH147" s="20">
        <v>127</v>
      </c>
      <c r="AI147" s="117" t="s">
        <v>4814</v>
      </c>
      <c r="AJ147" s="117">
        <v>70000</v>
      </c>
      <c r="AK147" s="20">
        <v>9</v>
      </c>
      <c r="AL147" s="20">
        <f t="shared" si="54"/>
        <v>335</v>
      </c>
      <c r="AM147" s="117">
        <f t="shared" si="59"/>
        <v>23450000</v>
      </c>
      <c r="AN147" s="20"/>
    </row>
    <row r="148" spans="5:44">
      <c r="G148" s="99">
        <f>P41</f>
        <v>85400</v>
      </c>
      <c r="H148" s="99" t="s">
        <v>5334</v>
      </c>
      <c r="I148" s="99">
        <v>52</v>
      </c>
      <c r="J148" s="1">
        <f>G148*I148</f>
        <v>4440800</v>
      </c>
      <c r="P148" s="96"/>
      <c r="R148" s="32" t="s">
        <v>4555</v>
      </c>
      <c r="S148" s="32" t="s">
        <v>947</v>
      </c>
      <c r="T148" t="s">
        <v>25</v>
      </c>
      <c r="U148" s="96" t="s">
        <v>25</v>
      </c>
      <c r="V148" s="96" t="s">
        <v>25</v>
      </c>
      <c r="W148" s="96" t="s">
        <v>25</v>
      </c>
      <c r="X148" s="122"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5336</v>
      </c>
      <c r="I149" s="99">
        <v>0</v>
      </c>
      <c r="J149" s="1">
        <f>I149</f>
        <v>0</v>
      </c>
      <c r="N149" s="188">
        <v>8644090</v>
      </c>
      <c r="O149" s="32" t="s">
        <v>1083</v>
      </c>
      <c r="P149" s="96"/>
      <c r="R149" s="32">
        <v>41992</v>
      </c>
      <c r="S149" s="35">
        <v>527013193</v>
      </c>
      <c r="T149" t="s">
        <v>25</v>
      </c>
      <c r="U149" s="96" t="s">
        <v>25</v>
      </c>
      <c r="V149" s="122" t="s">
        <v>25</v>
      </c>
      <c r="W149" s="96" t="s">
        <v>25</v>
      </c>
      <c r="X149" t="s">
        <v>25</v>
      </c>
      <c r="Z149" s="96" t="s">
        <v>25</v>
      </c>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29974272.600000001</v>
      </c>
      <c r="J150" s="1"/>
      <c r="N150" s="188">
        <v>65461942</v>
      </c>
      <c r="O150" s="303" t="s">
        <v>749</v>
      </c>
      <c r="Q150" t="s">
        <v>25</v>
      </c>
      <c r="R150" s="32">
        <v>9067</v>
      </c>
      <c r="S150" s="1">
        <f>S149*R150/R149</f>
        <v>113793785.02883883</v>
      </c>
      <c r="T150" s="114" t="s">
        <v>25</v>
      </c>
      <c r="U150" s="96" t="s">
        <v>25</v>
      </c>
      <c r="V150" s="122" t="s">
        <v>25</v>
      </c>
      <c r="W150" s="96" t="s">
        <v>25</v>
      </c>
      <c r="X150"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R151" s="32">
        <f>R149-R150</f>
        <v>32925</v>
      </c>
      <c r="S151" s="1">
        <f>R151*S149/R149</f>
        <v>413219407.97116119</v>
      </c>
      <c r="T151" t="s">
        <v>25</v>
      </c>
      <c r="U151" s="122" t="s">
        <v>25</v>
      </c>
      <c r="V151" s="96"/>
      <c r="W151" s="122" t="s">
        <v>25</v>
      </c>
      <c r="X151" t="s">
        <v>25</v>
      </c>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5571</v>
      </c>
      <c r="V152" s="96"/>
      <c r="W152"/>
      <c r="X152" t="s">
        <v>25</v>
      </c>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9364597.2000000011</v>
      </c>
      <c r="N153" s="188">
        <v>8820392</v>
      </c>
      <c r="O153" s="32" t="s">
        <v>5572</v>
      </c>
      <c r="P153" s="114"/>
      <c r="Q153" s="99" t="s">
        <v>4447</v>
      </c>
      <c r="R153" s="99" t="s">
        <v>4449</v>
      </c>
      <c r="S153" s="99"/>
      <c r="T153" s="99" t="s">
        <v>4450</v>
      </c>
      <c r="U153" s="99"/>
      <c r="V153" s="99"/>
      <c r="W153" s="99" t="s">
        <v>4558</v>
      </c>
      <c r="X153" t="s">
        <v>25</v>
      </c>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10530766.384230001</v>
      </c>
      <c r="N154" s="188">
        <v>1410073</v>
      </c>
      <c r="O154" s="1" t="s">
        <v>5573</v>
      </c>
      <c r="P154" s="114"/>
      <c r="Q154" s="113">
        <v>1000</v>
      </c>
      <c r="R154" s="99">
        <v>0.25</v>
      </c>
      <c r="S154" s="99"/>
      <c r="T154" s="99">
        <f>1-R154</f>
        <v>0.75</v>
      </c>
      <c r="U154" s="99"/>
      <c r="V154" s="99"/>
      <c r="W154" s="99"/>
      <c r="Y154" s="122" t="s">
        <v>25</v>
      </c>
      <c r="Z154" s="122" t="s">
        <v>25</v>
      </c>
      <c r="AH154" s="99">
        <v>134</v>
      </c>
      <c r="AI154" s="113" t="s">
        <v>4914</v>
      </c>
      <c r="AJ154" s="113">
        <v>1550000</v>
      </c>
      <c r="AK154" s="99">
        <v>2</v>
      </c>
      <c r="AL154" s="20">
        <f t="shared" si="54"/>
        <v>293</v>
      </c>
      <c r="AM154" s="117">
        <f t="shared" si="61"/>
        <v>454150000</v>
      </c>
      <c r="AN154" s="20"/>
    </row>
    <row r="155" spans="5:44">
      <c r="G155" s="99">
        <f>O21+O27+O40+O45+I136</f>
        <v>3833646</v>
      </c>
      <c r="H155" s="99" t="s">
        <v>5613</v>
      </c>
      <c r="I155">
        <f>I153-I154</f>
        <v>-1119.2716999999993</v>
      </c>
      <c r="J155" s="114">
        <f>I155*$G$146</f>
        <v>-1166169.1842299993</v>
      </c>
      <c r="N155" s="117">
        <v>186396</v>
      </c>
      <c r="O155" s="32" t="s">
        <v>5586</v>
      </c>
      <c r="P155" s="114"/>
      <c r="Q155" s="168" t="s">
        <v>4434</v>
      </c>
      <c r="R155" s="168" t="s">
        <v>4452</v>
      </c>
      <c r="S155" s="168" t="s">
        <v>4453</v>
      </c>
      <c r="T155" s="168"/>
      <c r="U155" s="168" t="s">
        <v>4448</v>
      </c>
      <c r="V155" s="56" t="s">
        <v>4451</v>
      </c>
      <c r="W155" s="99"/>
      <c r="X155" s="96" t="s">
        <v>25</v>
      </c>
      <c r="Y155" s="122" t="s">
        <v>25</v>
      </c>
      <c r="Z155" s="96" t="s">
        <v>25</v>
      </c>
      <c r="AH155" s="99">
        <v>135</v>
      </c>
      <c r="AI155" s="113" t="s">
        <v>4862</v>
      </c>
      <c r="AJ155" s="113">
        <v>250000</v>
      </c>
      <c r="AK155" s="99">
        <v>6</v>
      </c>
      <c r="AL155" s="20">
        <f t="shared" si="54"/>
        <v>291</v>
      </c>
      <c r="AM155" s="117">
        <f t="shared" si="61"/>
        <v>72750000</v>
      </c>
      <c r="AN155" s="20"/>
    </row>
    <row r="156" spans="5:44">
      <c r="G156" s="99">
        <f>(N22+N23+N26+N42+N43)/P45</f>
        <v>2020318.1984835395</v>
      </c>
      <c r="H156" s="69" t="s">
        <v>5614</v>
      </c>
      <c r="L156" t="s">
        <v>25</v>
      </c>
      <c r="N156" t="s">
        <v>25</v>
      </c>
      <c r="Q156" s="168" t="s">
        <v>749</v>
      </c>
      <c r="R156" s="56">
        <v>1552738</v>
      </c>
      <c r="S156" s="113">
        <f>R156*$T$343</f>
        <v>2599083241.2080488</v>
      </c>
      <c r="T156" s="168"/>
      <c r="U156" s="168">
        <f>$Q$154*$T$154*S156/$R$183</f>
        <v>329.75994182673236</v>
      </c>
      <c r="V156" s="95">
        <f>S156+U156</f>
        <v>2599083570.9679909</v>
      </c>
      <c r="W156" s="99">
        <f>R156*100/U340</f>
        <v>43.967992243564311</v>
      </c>
      <c r="X156" s="217"/>
      <c r="Y156" s="122" t="s">
        <v>25</v>
      </c>
      <c r="Z156" s="96"/>
      <c r="AH156" s="99">
        <v>136</v>
      </c>
      <c r="AI156" s="113" t="s">
        <v>4924</v>
      </c>
      <c r="AJ156" s="113">
        <v>-48527480</v>
      </c>
      <c r="AK156" s="99">
        <v>14</v>
      </c>
      <c r="AL156" s="20">
        <f t="shared" si="54"/>
        <v>285</v>
      </c>
      <c r="AM156" s="117">
        <f t="shared" si="61"/>
        <v>-13830331800</v>
      </c>
      <c r="AN156" s="20" t="s">
        <v>4926</v>
      </c>
    </row>
    <row r="157" spans="5:44">
      <c r="G157" s="99">
        <f>G155+G156</f>
        <v>5853964.1984835397</v>
      </c>
      <c r="H157" s="99" t="s">
        <v>25</v>
      </c>
      <c r="J157" s="114">
        <f>J154-J148</f>
        <v>6089966.3842300009</v>
      </c>
      <c r="Q157" s="168" t="s">
        <v>4436</v>
      </c>
      <c r="R157" s="56">
        <v>1809710</v>
      </c>
      <c r="S157" s="113">
        <f>R157*$T$343</f>
        <v>3029221241.7333884</v>
      </c>
      <c r="T157" s="168"/>
      <c r="U157" s="213">
        <f>$Q$154*$T$154*S157/$R$183</f>
        <v>384.33390843996597</v>
      </c>
      <c r="V157" s="95">
        <f t="shared" ref="V157:V158" si="62">S157+U157</f>
        <v>3029221626.067297</v>
      </c>
      <c r="W157" s="99">
        <f>R157*100/U340</f>
        <v>51.244521125328788</v>
      </c>
      <c r="X157" s="115"/>
      <c r="Y157" s="96"/>
      <c r="Z157" s="96"/>
      <c r="AH157" s="99">
        <v>137</v>
      </c>
      <c r="AI157" s="113" t="s">
        <v>4951</v>
      </c>
      <c r="AJ157" s="113">
        <v>2100000</v>
      </c>
      <c r="AK157" s="99">
        <v>1</v>
      </c>
      <c r="AL157" s="20">
        <f t="shared" si="54"/>
        <v>271</v>
      </c>
      <c r="AM157" s="117">
        <f t="shared" si="61"/>
        <v>569100000</v>
      </c>
      <c r="AN157" s="20"/>
    </row>
    <row r="158" spans="5:44">
      <c r="G158" s="99">
        <f>(S158+S159+S160)/P45</f>
        <v>271622.09257948358</v>
      </c>
      <c r="H158" s="99" t="s">
        <v>5615</v>
      </c>
      <c r="N158" s="114"/>
      <c r="O158" s="114"/>
      <c r="Q158" s="168" t="s">
        <v>4435</v>
      </c>
      <c r="R158" s="56">
        <v>51212</v>
      </c>
      <c r="S158" s="113">
        <f>R158*$T$343</f>
        <v>85722286.019113719</v>
      </c>
      <c r="T158" s="168"/>
      <c r="U158" s="213">
        <f>$Q$154*$T$154*S158/$R$183</f>
        <v>10.876056450496232</v>
      </c>
      <c r="V158" s="95">
        <f t="shared" si="62"/>
        <v>85722296.895170167</v>
      </c>
      <c r="W158" s="99">
        <f>R158*100/U340</f>
        <v>1.4501408600661643</v>
      </c>
      <c r="X158" s="115"/>
      <c r="Y158" s="96"/>
      <c r="Z158" s="96"/>
      <c r="AH158" s="99">
        <v>138</v>
      </c>
      <c r="AI158" s="113" t="s">
        <v>4954</v>
      </c>
      <c r="AJ158" s="113">
        <v>100000</v>
      </c>
      <c r="AK158" s="99">
        <v>4</v>
      </c>
      <c r="AL158" s="20">
        <f>AL159+AK158</f>
        <v>270</v>
      </c>
      <c r="AM158" s="117">
        <f t="shared" si="61"/>
        <v>27000000</v>
      </c>
      <c r="AN158" s="20"/>
    </row>
    <row r="159" spans="5:44">
      <c r="G159" s="99">
        <f>S156/P45</f>
        <v>2494561.1298666364</v>
      </c>
      <c r="H159" s="99" t="s">
        <v>483</v>
      </c>
      <c r="J159" t="s">
        <v>25</v>
      </c>
      <c r="P159" s="114"/>
      <c r="Q159" s="168" t="s">
        <v>1083</v>
      </c>
      <c r="R159" s="56">
        <v>115465</v>
      </c>
      <c r="S159" s="113">
        <f>R159*$T$343</f>
        <v>193273524.86130136</v>
      </c>
      <c r="T159" s="168"/>
      <c r="U159" s="213">
        <f>$Q$154*$T$154*S159/$R$183</f>
        <v>24.521671835830418</v>
      </c>
      <c r="V159" s="95">
        <f>S159+U159</f>
        <v>193273549.38297319</v>
      </c>
      <c r="W159" s="99">
        <f>R159*100/U340</f>
        <v>3.2695562447773892</v>
      </c>
      <c r="X159" s="115"/>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G160" s="99">
        <f>G157-G158-G159</f>
        <v>3087780.9760374194</v>
      </c>
      <c r="H160" s="99" t="s">
        <v>5</v>
      </c>
      <c r="N160" s="114"/>
      <c r="Q160" s="168" t="s">
        <v>5478</v>
      </c>
      <c r="R160" s="56">
        <v>2394</v>
      </c>
      <c r="S160" s="113">
        <f>R160*$T$343</f>
        <v>4007247.3781488365</v>
      </c>
      <c r="T160" s="168"/>
      <c r="U160" s="168">
        <f>$Q$154*$T$154*S160/$R$183</f>
        <v>0.50842144697508351</v>
      </c>
      <c r="V160" s="95">
        <f>S160+U160</f>
        <v>4007247.8865702837</v>
      </c>
      <c r="W160" s="99">
        <f>R160*100/U340</f>
        <v>6.7789526263344474E-2</v>
      </c>
      <c r="X160" s="114"/>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168"/>
      <c r="R161" s="168"/>
      <c r="S161" s="168"/>
      <c r="T161" s="168"/>
      <c r="U161" s="168"/>
      <c r="V161" s="168"/>
      <c r="W161" s="99"/>
      <c r="X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c r="R162" s="99"/>
      <c r="S162" s="99"/>
      <c r="T162" s="99" t="s">
        <v>25</v>
      </c>
      <c r="U162" s="99"/>
      <c r="V162" s="99"/>
      <c r="W162" s="99"/>
      <c r="X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9"/>
      <c r="R163" s="99"/>
      <c r="S163" s="99"/>
      <c r="T163" s="99"/>
      <c r="U163" s="99"/>
      <c r="V163" s="99"/>
      <c r="W163" s="99"/>
      <c r="X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9"/>
      <c r="R164" s="99"/>
      <c r="S164" s="99"/>
      <c r="T164" s="99"/>
      <c r="U164" s="99"/>
      <c r="V164" s="99"/>
      <c r="W164" s="99"/>
      <c r="X164" s="96"/>
      <c r="Y164" s="96" t="s">
        <v>25</v>
      </c>
      <c r="AH164" s="99">
        <v>144</v>
      </c>
      <c r="AI164" s="113" t="s">
        <v>4973</v>
      </c>
      <c r="AJ164" s="113">
        <v>2000000</v>
      </c>
      <c r="AK164" s="99">
        <v>0</v>
      </c>
      <c r="AL164" s="20">
        <f t="shared" si="63"/>
        <v>265</v>
      </c>
      <c r="AM164" s="117">
        <f t="shared" si="64"/>
        <v>530000000</v>
      </c>
      <c r="AN164" s="20"/>
    </row>
    <row r="165" spans="9:43">
      <c r="K165" s="96"/>
      <c r="L165" s="96"/>
      <c r="Q165" s="96"/>
      <c r="R165" s="96"/>
      <c r="S165" s="96"/>
      <c r="T165" s="96"/>
      <c r="V165" s="96"/>
      <c r="X165" s="115"/>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5000</v>
      </c>
      <c r="R166" s="95">
        <f>S156-R171</f>
        <v>753966267.30804873</v>
      </c>
      <c r="S166" s="96"/>
      <c r="T166" s="96"/>
      <c r="V166" s="96"/>
      <c r="Y166" t="s">
        <v>25</v>
      </c>
      <c r="Z166" t="s">
        <v>25</v>
      </c>
      <c r="AH166" s="99">
        <v>146</v>
      </c>
      <c r="AI166" s="113" t="s">
        <v>4974</v>
      </c>
      <c r="AJ166" s="113">
        <v>3000000</v>
      </c>
      <c r="AK166" s="99">
        <v>1</v>
      </c>
      <c r="AL166" s="20">
        <f t="shared" si="63"/>
        <v>264</v>
      </c>
      <c r="AM166" s="117">
        <f t="shared" si="64"/>
        <v>792000000</v>
      </c>
      <c r="AN166" s="20"/>
    </row>
    <row r="167" spans="9:43">
      <c r="P167" s="114"/>
      <c r="Q167" s="99" t="s">
        <v>5001</v>
      </c>
      <c r="R167" s="95">
        <f>S159+S158-R172</f>
        <v>69271702.280415088</v>
      </c>
      <c r="S167" s="96"/>
      <c r="T167" s="96" t="s">
        <v>25</v>
      </c>
      <c r="V167" s="96"/>
      <c r="Y167" t="s">
        <v>25</v>
      </c>
      <c r="AH167" s="99">
        <v>147</v>
      </c>
      <c r="AI167" s="113" t="s">
        <v>4971</v>
      </c>
      <c r="AJ167" s="113">
        <v>-658226</v>
      </c>
      <c r="AK167" s="99">
        <v>1</v>
      </c>
      <c r="AL167" s="20">
        <f t="shared" si="63"/>
        <v>263</v>
      </c>
      <c r="AM167" s="117">
        <f t="shared" si="64"/>
        <v>-173113438</v>
      </c>
      <c r="AN167" s="20"/>
    </row>
    <row r="168" spans="9:43">
      <c r="P168" s="114"/>
      <c r="Q168" s="96"/>
      <c r="R168" s="96"/>
      <c r="S168" s="96"/>
      <c r="T168" s="96"/>
      <c r="V168" s="96"/>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96"/>
      <c r="R169" s="96"/>
      <c r="S169" s="96"/>
      <c r="T169" s="99" t="s">
        <v>180</v>
      </c>
      <c r="U169" s="99" t="s">
        <v>4469</v>
      </c>
      <c r="V169" s="99" t="s">
        <v>4470</v>
      </c>
      <c r="W169" s="99" t="s">
        <v>4480</v>
      </c>
      <c r="X169" s="99" t="s">
        <v>8</v>
      </c>
      <c r="Y169" t="s">
        <v>25</v>
      </c>
      <c r="AH169" s="99">
        <v>149</v>
      </c>
      <c r="AI169" s="113" t="s">
        <v>5006</v>
      </c>
      <c r="AJ169" s="113">
        <v>1130250</v>
      </c>
      <c r="AK169" s="99">
        <v>5</v>
      </c>
      <c r="AL169" s="20">
        <f t="shared" si="54"/>
        <v>247</v>
      </c>
      <c r="AM169" s="117">
        <f t="shared" si="61"/>
        <v>279171750</v>
      </c>
      <c r="AN169" s="20"/>
    </row>
    <row r="170" spans="9:43">
      <c r="P170" s="114"/>
      <c r="Q170" s="36" t="s">
        <v>4554</v>
      </c>
      <c r="R170" s="95">
        <f>SUM(N40:N47)</f>
        <v>3856853880.6999998</v>
      </c>
      <c r="T170" s="113" t="s">
        <v>4446</v>
      </c>
      <c r="U170" s="56">
        <v>1000000</v>
      </c>
      <c r="V170" s="113">
        <v>239.024</v>
      </c>
      <c r="W170" s="113">
        <f t="shared" ref="W170:W271" si="65">U170*V170</f>
        <v>239024000</v>
      </c>
      <c r="X170" s="99"/>
      <c r="Y170" t="s">
        <v>25</v>
      </c>
      <c r="AE170" s="96" t="s">
        <v>25</v>
      </c>
      <c r="AH170" s="99">
        <v>150</v>
      </c>
      <c r="AI170" s="113" t="s">
        <v>5014</v>
      </c>
      <c r="AJ170" s="113">
        <v>206000</v>
      </c>
      <c r="AK170" s="99">
        <v>2</v>
      </c>
      <c r="AL170" s="20">
        <f t="shared" si="54"/>
        <v>242</v>
      </c>
      <c r="AM170" s="117">
        <f t="shared" si="61"/>
        <v>49852000</v>
      </c>
      <c r="AN170" s="20"/>
    </row>
    <row r="171" spans="9:43">
      <c r="P171" s="114"/>
      <c r="Q171" s="99" t="s">
        <v>4437</v>
      </c>
      <c r="R171" s="95">
        <f>SUM(N21:N23)</f>
        <v>1845116973.9000001</v>
      </c>
      <c r="T171" s="168" t="s">
        <v>4428</v>
      </c>
      <c r="U171" s="56">
        <v>5904</v>
      </c>
      <c r="V171" s="113">
        <v>237.148</v>
      </c>
      <c r="W171" s="113">
        <f t="shared" si="65"/>
        <v>1400121.7919999999</v>
      </c>
      <c r="X171" s="99" t="s">
        <v>749</v>
      </c>
      <c r="Z171" t="s">
        <v>25</v>
      </c>
      <c r="AH171" s="99">
        <v>151</v>
      </c>
      <c r="AI171" s="113" t="s">
        <v>5021</v>
      </c>
      <c r="AJ171" s="113">
        <v>50000</v>
      </c>
      <c r="AK171" s="99">
        <v>2</v>
      </c>
      <c r="AL171" s="20">
        <f t="shared" si="54"/>
        <v>240</v>
      </c>
      <c r="AM171" s="117">
        <f t="shared" si="61"/>
        <v>12000000</v>
      </c>
      <c r="AN171" s="20"/>
    </row>
    <row r="172" spans="9:43">
      <c r="Q172" s="99" t="s">
        <v>4438</v>
      </c>
      <c r="R172" s="95">
        <f>SUM(N26:N27)</f>
        <v>209724108.59999999</v>
      </c>
      <c r="T172" s="168" t="s">
        <v>4222</v>
      </c>
      <c r="U172" s="168">
        <v>1000</v>
      </c>
      <c r="V172" s="113">
        <v>247.393</v>
      </c>
      <c r="W172" s="113">
        <f t="shared" si="65"/>
        <v>247393</v>
      </c>
      <c r="X172" s="99" t="s">
        <v>749</v>
      </c>
      <c r="Y172" t="s">
        <v>25</v>
      </c>
      <c r="AH172" s="99">
        <v>152</v>
      </c>
      <c r="AI172" s="113" t="s">
        <v>5025</v>
      </c>
      <c r="AJ172" s="113">
        <v>105000</v>
      </c>
      <c r="AK172" s="99">
        <v>4</v>
      </c>
      <c r="AL172" s="20">
        <f t="shared" si="54"/>
        <v>238</v>
      </c>
      <c r="AM172" s="117">
        <f t="shared" si="61"/>
        <v>24990000</v>
      </c>
      <c r="AN172" s="20"/>
    </row>
    <row r="173" spans="9:43">
      <c r="P173" s="114"/>
      <c r="Q173" s="99" t="s">
        <v>4439</v>
      </c>
      <c r="R173" s="95">
        <f>N38</f>
        <v>146</v>
      </c>
      <c r="T173" s="168" t="s">
        <v>4481</v>
      </c>
      <c r="U173" s="168">
        <v>8071</v>
      </c>
      <c r="V173" s="113">
        <v>247.797</v>
      </c>
      <c r="W173" s="113">
        <f t="shared" si="65"/>
        <v>1999969.5870000001</v>
      </c>
      <c r="X173" s="99" t="s">
        <v>4435</v>
      </c>
      <c r="Y173" t="s">
        <v>25</v>
      </c>
      <c r="AH173" s="99">
        <v>153</v>
      </c>
      <c r="AI173" s="113" t="s">
        <v>5029</v>
      </c>
      <c r="AJ173" s="113">
        <v>5000000</v>
      </c>
      <c r="AK173" s="99">
        <v>1</v>
      </c>
      <c r="AL173" s="20">
        <f t="shared" si="54"/>
        <v>234</v>
      </c>
      <c r="AM173" s="117">
        <f t="shared" si="61"/>
        <v>1170000000</v>
      </c>
      <c r="AN173" s="20"/>
    </row>
    <row r="174" spans="9:43">
      <c r="P174" s="114"/>
      <c r="Q174" s="99" t="s">
        <v>4440</v>
      </c>
      <c r="R174" s="95">
        <f>N20</f>
        <v>869</v>
      </c>
      <c r="T174" s="168" t="s">
        <v>4481</v>
      </c>
      <c r="U174" s="168">
        <v>53672</v>
      </c>
      <c r="V174" s="113">
        <v>247.797</v>
      </c>
      <c r="W174" s="113">
        <f t="shared" si="65"/>
        <v>13299760.584000001</v>
      </c>
      <c r="X174" s="99" t="s">
        <v>452</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4441</v>
      </c>
      <c r="R175" s="95">
        <f>N25</f>
        <v>301</v>
      </c>
      <c r="T175" s="168" t="s">
        <v>4489</v>
      </c>
      <c r="U175" s="168">
        <v>4099</v>
      </c>
      <c r="V175" s="113">
        <v>243.93</v>
      </c>
      <c r="W175" s="113">
        <f t="shared" si="65"/>
        <v>999869.07000000007</v>
      </c>
      <c r="X175" s="99" t="s">
        <v>4435</v>
      </c>
      <c r="Z175" t="s">
        <v>25</v>
      </c>
      <c r="AH175" s="265">
        <v>155</v>
      </c>
      <c r="AI175" s="261" t="s">
        <v>5036</v>
      </c>
      <c r="AJ175" s="261">
        <v>-50000000</v>
      </c>
      <c r="AK175" s="265">
        <v>7</v>
      </c>
      <c r="AL175" s="265">
        <f t="shared" si="54"/>
        <v>231</v>
      </c>
      <c r="AM175" s="261">
        <f t="shared" si="61"/>
        <v>-11550000000</v>
      </c>
      <c r="AN175" s="265" t="s">
        <v>5044</v>
      </c>
    </row>
    <row r="176" spans="9:43">
      <c r="P176" s="114"/>
      <c r="Q176" s="99" t="s">
        <v>5602</v>
      </c>
      <c r="R176" s="95">
        <v>-388738</v>
      </c>
      <c r="S176" t="s">
        <v>25</v>
      </c>
      <c r="T176" s="168" t="s">
        <v>4489</v>
      </c>
      <c r="U176" s="168">
        <v>9301</v>
      </c>
      <c r="V176" s="113">
        <v>243.93</v>
      </c>
      <c r="W176" s="113">
        <f t="shared" si="65"/>
        <v>2268792.9300000002</v>
      </c>
      <c r="X176" s="99" t="s">
        <v>452</v>
      </c>
      <c r="Z176" t="s">
        <v>25</v>
      </c>
      <c r="AH176" s="99">
        <v>156</v>
      </c>
      <c r="AI176" s="113" t="s">
        <v>5042</v>
      </c>
      <c r="AJ176" s="113">
        <v>10000000</v>
      </c>
      <c r="AK176" s="99">
        <v>12</v>
      </c>
      <c r="AL176" s="20">
        <f t="shared" si="54"/>
        <v>224</v>
      </c>
      <c r="AM176" s="117">
        <f t="shared" si="61"/>
        <v>2240000000</v>
      </c>
      <c r="AN176" s="20" t="s">
        <v>4731</v>
      </c>
    </row>
    <row r="177" spans="16:43">
      <c r="P177" s="114"/>
      <c r="Q177" s="99" t="s">
        <v>5136</v>
      </c>
      <c r="R177" s="95">
        <v>0</v>
      </c>
      <c r="T177" s="168" t="s">
        <v>4495</v>
      </c>
      <c r="U177" s="168">
        <v>8334</v>
      </c>
      <c r="V177" s="113">
        <v>239.97</v>
      </c>
      <c r="W177" s="113">
        <f t="shared" si="65"/>
        <v>1999909.98</v>
      </c>
      <c r="X177" s="99" t="s">
        <v>4435</v>
      </c>
      <c r="AH177" s="99">
        <v>157</v>
      </c>
      <c r="AI177" s="113" t="s">
        <v>5049</v>
      </c>
      <c r="AJ177" s="113">
        <v>-16266000</v>
      </c>
      <c r="AK177" s="99">
        <v>1</v>
      </c>
      <c r="AL177" s="20">
        <f t="shared" si="54"/>
        <v>212</v>
      </c>
      <c r="AM177" s="117">
        <f t="shared" si="61"/>
        <v>-3448392000</v>
      </c>
      <c r="AN177" s="20" t="s">
        <v>5057</v>
      </c>
      <c r="AQ177" t="s">
        <v>25</v>
      </c>
    </row>
    <row r="178" spans="16:43">
      <c r="P178" s="114"/>
      <c r="Q178" s="99"/>
      <c r="R178" s="95"/>
      <c r="T178" s="168" t="s">
        <v>4221</v>
      </c>
      <c r="U178" s="168">
        <v>29041</v>
      </c>
      <c r="V178" s="113">
        <v>233.45</v>
      </c>
      <c r="W178" s="113">
        <f t="shared" si="65"/>
        <v>6779621.4499999993</v>
      </c>
      <c r="X178" s="99" t="s">
        <v>749</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9" t="s">
        <v>5137</v>
      </c>
      <c r="R179" s="95">
        <v>0</v>
      </c>
      <c r="S179" s="115"/>
      <c r="T179" s="168" t="s">
        <v>991</v>
      </c>
      <c r="U179" s="168">
        <v>12337</v>
      </c>
      <c r="V179" s="113">
        <v>243.16300000000001</v>
      </c>
      <c r="W179" s="113">
        <f t="shared" si="65"/>
        <v>2999901.9310000003</v>
      </c>
      <c r="X179" s="99" t="s">
        <v>4435</v>
      </c>
      <c r="Y179" t="s">
        <v>25</v>
      </c>
      <c r="AH179" s="99">
        <v>159</v>
      </c>
      <c r="AI179" s="113" t="s">
        <v>5066</v>
      </c>
      <c r="AJ179" s="113">
        <v>40000</v>
      </c>
      <c r="AK179" s="99">
        <v>5</v>
      </c>
      <c r="AL179" s="20">
        <f t="shared" si="66"/>
        <v>205</v>
      </c>
      <c r="AM179" s="117">
        <f t="shared" si="67"/>
        <v>8200000</v>
      </c>
      <c r="AN179" s="20"/>
    </row>
    <row r="180" spans="16:43">
      <c r="Q180" s="99" t="s">
        <v>5601</v>
      </c>
      <c r="R180" s="95">
        <f>-4900*P45</f>
        <v>-5105310</v>
      </c>
      <c r="S180" s="122"/>
      <c r="T180" s="168" t="s">
        <v>4575</v>
      </c>
      <c r="U180" s="168">
        <v>-16118</v>
      </c>
      <c r="V180" s="113">
        <v>248.17</v>
      </c>
      <c r="W180" s="113">
        <f t="shared" si="65"/>
        <v>-4000004.0599999996</v>
      </c>
      <c r="X180" s="99" t="s">
        <v>749</v>
      </c>
      <c r="AB180" t="s">
        <v>25</v>
      </c>
      <c r="AH180" s="99">
        <v>160</v>
      </c>
      <c r="AI180" s="113" t="s">
        <v>5077</v>
      </c>
      <c r="AJ180" s="113">
        <v>120000</v>
      </c>
      <c r="AK180" s="99">
        <v>6</v>
      </c>
      <c r="AL180" s="20">
        <f t="shared" si="66"/>
        <v>200</v>
      </c>
      <c r="AM180" s="117">
        <f t="shared" si="67"/>
        <v>24000000</v>
      </c>
      <c r="AN180" s="20"/>
    </row>
    <row r="181" spans="16:43">
      <c r="P181" s="114"/>
      <c r="Q181" s="99"/>
      <c r="R181" s="95"/>
      <c r="S181" s="115"/>
      <c r="T181" s="168" t="s">
        <v>4602</v>
      </c>
      <c r="U181" s="168">
        <v>101681</v>
      </c>
      <c r="V181" s="113">
        <v>246.5711</v>
      </c>
      <c r="W181" s="113">
        <f t="shared" si="65"/>
        <v>25071596.019099999</v>
      </c>
      <c r="X181" s="99" t="s">
        <v>452</v>
      </c>
      <c r="Y181" t="s">
        <v>25</v>
      </c>
      <c r="Z181" t="s">
        <v>25</v>
      </c>
      <c r="AH181" s="99">
        <v>161</v>
      </c>
      <c r="AI181" s="113" t="s">
        <v>5071</v>
      </c>
      <c r="AJ181" s="113">
        <v>249000</v>
      </c>
      <c r="AK181" s="99">
        <v>9</v>
      </c>
      <c r="AL181" s="20">
        <f t="shared" si="66"/>
        <v>194</v>
      </c>
      <c r="AM181" s="117">
        <f t="shared" si="67"/>
        <v>48306000</v>
      </c>
      <c r="AN181" s="20"/>
    </row>
    <row r="182" spans="16:43">
      <c r="Q182" s="99"/>
      <c r="R182" s="99"/>
      <c r="S182" s="115"/>
      <c r="T182" s="168" t="s">
        <v>4606</v>
      </c>
      <c r="U182" s="168">
        <v>66606</v>
      </c>
      <c r="V182" s="113">
        <v>251.131</v>
      </c>
      <c r="W182" s="113">
        <f t="shared" si="65"/>
        <v>16726831.386</v>
      </c>
      <c r="X182" s="99" t="s">
        <v>749</v>
      </c>
      <c r="Y182" t="s">
        <v>25</v>
      </c>
      <c r="AH182" s="99">
        <v>162</v>
      </c>
      <c r="AI182" s="113" t="s">
        <v>5099</v>
      </c>
      <c r="AJ182" s="113">
        <v>65000</v>
      </c>
      <c r="AK182" s="99">
        <v>7</v>
      </c>
      <c r="AL182" s="20">
        <f t="shared" ref="AL182" si="68">AL183+AK182</f>
        <v>185</v>
      </c>
      <c r="AM182" s="117">
        <f t="shared" ref="AM182" si="69">AJ182*AL182</f>
        <v>12025000</v>
      </c>
      <c r="AN182" s="20"/>
    </row>
    <row r="183" spans="16:43">
      <c r="P183" s="114"/>
      <c r="Q183" s="99" t="s">
        <v>4445</v>
      </c>
      <c r="R183" s="95">
        <f>SUM(R170:R179)</f>
        <v>5911307541.2000008</v>
      </c>
      <c r="T183" s="168" t="s">
        <v>4611</v>
      </c>
      <c r="U183" s="168">
        <v>172025</v>
      </c>
      <c r="V183" s="113">
        <v>245.52809999999999</v>
      </c>
      <c r="W183" s="113">
        <f t="shared" si="65"/>
        <v>42236971.402499996</v>
      </c>
      <c r="X183" s="99" t="s">
        <v>452</v>
      </c>
      <c r="Z183" t="s">
        <v>25</v>
      </c>
      <c r="AH183" s="99">
        <v>163</v>
      </c>
      <c r="AI183" s="113" t="s">
        <v>5109</v>
      </c>
      <c r="AJ183" s="113">
        <v>-312598</v>
      </c>
      <c r="AK183" s="99">
        <v>0</v>
      </c>
      <c r="AL183" s="20">
        <f t="shared" ref="AL183:AL190" si="70">AL184+AK183</f>
        <v>178</v>
      </c>
      <c r="AM183" s="117">
        <f t="shared" ref="AM183:AM190" si="71">AJ183*AL183</f>
        <v>-55642444</v>
      </c>
      <c r="AN183" s="20"/>
      <c r="AO183" t="s">
        <v>25</v>
      </c>
      <c r="AQ183" t="s">
        <v>25</v>
      </c>
    </row>
    <row r="184" spans="16:43">
      <c r="P184" s="114"/>
      <c r="Q184" s="96"/>
      <c r="T184" s="168" t="s">
        <v>4611</v>
      </c>
      <c r="U184" s="168">
        <v>189227</v>
      </c>
      <c r="V184" s="113">
        <v>245.52809999999999</v>
      </c>
      <c r="W184" s="113">
        <f t="shared" si="65"/>
        <v>46460545.778700002</v>
      </c>
      <c r="X184" s="99" t="s">
        <v>749</v>
      </c>
      <c r="AH184" s="99">
        <v>164</v>
      </c>
      <c r="AI184" s="113" t="s">
        <v>5109</v>
      </c>
      <c r="AJ184" s="113">
        <v>50000</v>
      </c>
      <c r="AK184" s="99">
        <v>6</v>
      </c>
      <c r="AL184" s="20">
        <f t="shared" si="70"/>
        <v>178</v>
      </c>
      <c r="AM184" s="117">
        <f t="shared" si="71"/>
        <v>8900000</v>
      </c>
      <c r="AN184" s="20"/>
    </row>
    <row r="185" spans="16:43">
      <c r="T185" s="168" t="s">
        <v>4612</v>
      </c>
      <c r="U185" s="168">
        <v>79720</v>
      </c>
      <c r="V185" s="113">
        <v>246.6568</v>
      </c>
      <c r="W185" s="113">
        <f t="shared" si="65"/>
        <v>19663480.096000001</v>
      </c>
      <c r="X185" s="99" t="s">
        <v>452</v>
      </c>
      <c r="Y185" t="s">
        <v>25</v>
      </c>
      <c r="Z185" t="s">
        <v>25</v>
      </c>
      <c r="AH185" s="99">
        <v>165</v>
      </c>
      <c r="AI185" s="113" t="s">
        <v>5119</v>
      </c>
      <c r="AJ185" s="113">
        <v>-200000</v>
      </c>
      <c r="AK185" s="99">
        <v>0</v>
      </c>
      <c r="AL185" s="20">
        <f t="shared" si="70"/>
        <v>172</v>
      </c>
      <c r="AM185" s="117">
        <f t="shared" si="71"/>
        <v>-34400000</v>
      </c>
      <c r="AN185" s="20" t="s">
        <v>5120</v>
      </c>
    </row>
    <row r="186" spans="16:43">
      <c r="Q186" s="213" t="s">
        <v>8</v>
      </c>
      <c r="R186" s="213" t="s">
        <v>4435</v>
      </c>
      <c r="S186" s="213"/>
      <c r="T186" s="168" t="s">
        <v>4612</v>
      </c>
      <c r="U186" s="168">
        <v>79720</v>
      </c>
      <c r="V186" s="113">
        <v>246.6568</v>
      </c>
      <c r="W186" s="113">
        <f t="shared" si="65"/>
        <v>19663480.096000001</v>
      </c>
      <c r="X186" s="99" t="s">
        <v>749</v>
      </c>
      <c r="AH186" s="99">
        <v>166</v>
      </c>
      <c r="AI186" s="113" t="s">
        <v>5119</v>
      </c>
      <c r="AJ186" s="113">
        <v>200000</v>
      </c>
      <c r="AK186" s="99">
        <v>3</v>
      </c>
      <c r="AL186" s="20">
        <f t="shared" si="70"/>
        <v>172</v>
      </c>
      <c r="AM186" s="117">
        <f t="shared" si="71"/>
        <v>34400000</v>
      </c>
      <c r="AN186" s="20"/>
      <c r="AQ186" t="s">
        <v>25</v>
      </c>
    </row>
    <row r="187" spans="16:43">
      <c r="Q187" s="213"/>
      <c r="R187" s="73" t="s">
        <v>180</v>
      </c>
      <c r="S187" s="213" t="s">
        <v>267</v>
      </c>
      <c r="T187" s="168" t="s">
        <v>4635</v>
      </c>
      <c r="U187" s="168">
        <v>17769</v>
      </c>
      <c r="V187" s="113">
        <v>246.17877999999999</v>
      </c>
      <c r="W187" s="113">
        <f t="shared" si="65"/>
        <v>4374350.7418200001</v>
      </c>
      <c r="X187" s="99" t="s">
        <v>749</v>
      </c>
      <c r="Y187" t="s">
        <v>25</v>
      </c>
      <c r="Z187" t="s">
        <v>25</v>
      </c>
      <c r="AH187" s="99">
        <v>167</v>
      </c>
      <c r="AI187" s="113" t="s">
        <v>5126</v>
      </c>
      <c r="AJ187" s="113">
        <v>200000</v>
      </c>
      <c r="AK187" s="99">
        <v>3</v>
      </c>
      <c r="AL187" s="20">
        <f t="shared" si="70"/>
        <v>169</v>
      </c>
      <c r="AM187" s="117">
        <f t="shared" si="71"/>
        <v>33800000</v>
      </c>
      <c r="AN187" s="20"/>
    </row>
    <row r="188" spans="16:43">
      <c r="Q188" s="213"/>
      <c r="R188" s="213" t="s">
        <v>4428</v>
      </c>
      <c r="S188" s="113">
        <v>3000000</v>
      </c>
      <c r="T188" s="168" t="s">
        <v>4635</v>
      </c>
      <c r="U188" s="168">
        <v>17769</v>
      </c>
      <c r="V188" s="113">
        <v>246.17877999999999</v>
      </c>
      <c r="W188" s="113">
        <f t="shared" si="65"/>
        <v>4374350.7418200001</v>
      </c>
      <c r="X188" s="99" t="s">
        <v>452</v>
      </c>
      <c r="AH188" s="99">
        <v>168</v>
      </c>
      <c r="AI188" s="113" t="s">
        <v>5129</v>
      </c>
      <c r="AJ188" s="113">
        <v>30000</v>
      </c>
      <c r="AK188" s="99">
        <v>7</v>
      </c>
      <c r="AL188" s="20">
        <f t="shared" si="70"/>
        <v>166</v>
      </c>
      <c r="AM188" s="117">
        <f t="shared" si="71"/>
        <v>4980000</v>
      </c>
      <c r="AN188" s="20"/>
    </row>
    <row r="189" spans="16:43">
      <c r="Q189" s="213"/>
      <c r="R189" s="213" t="s">
        <v>4481</v>
      </c>
      <c r="S189" s="113">
        <v>2000000</v>
      </c>
      <c r="T189" s="168" t="s">
        <v>4637</v>
      </c>
      <c r="U189" s="168">
        <v>12438</v>
      </c>
      <c r="V189" s="113">
        <v>241.20465999999999</v>
      </c>
      <c r="W189" s="113">
        <f t="shared" si="65"/>
        <v>3000103.5610799999</v>
      </c>
      <c r="X189" s="99" t="s">
        <v>4435</v>
      </c>
      <c r="Y189" t="s">
        <v>25</v>
      </c>
      <c r="AH189" s="99">
        <v>169</v>
      </c>
      <c r="AI189" s="113" t="s">
        <v>5087</v>
      </c>
      <c r="AJ189" s="113">
        <v>-10000000</v>
      </c>
      <c r="AK189" s="99">
        <v>0</v>
      </c>
      <c r="AL189" s="20">
        <f t="shared" si="70"/>
        <v>159</v>
      </c>
      <c r="AM189" s="117">
        <f t="shared" si="71"/>
        <v>-1590000000</v>
      </c>
      <c r="AN189" s="20" t="s">
        <v>5044</v>
      </c>
    </row>
    <row r="190" spans="16:43">
      <c r="Q190" s="213"/>
      <c r="R190" s="213" t="s">
        <v>4489</v>
      </c>
      <c r="S190" s="113">
        <v>1000000</v>
      </c>
      <c r="T190" s="168" t="s">
        <v>4646</v>
      </c>
      <c r="U190" s="168">
        <v>27363</v>
      </c>
      <c r="V190" s="113">
        <v>239.3886</v>
      </c>
      <c r="W190" s="113">
        <f t="shared" si="65"/>
        <v>6550390.2617999995</v>
      </c>
      <c r="X190" s="99" t="s">
        <v>749</v>
      </c>
      <c r="Y190" t="s">
        <v>25</v>
      </c>
      <c r="AH190" s="99">
        <v>170</v>
      </c>
      <c r="AI190" s="113" t="s">
        <v>5087</v>
      </c>
      <c r="AJ190" s="113">
        <v>6000000</v>
      </c>
      <c r="AK190" s="99">
        <v>8</v>
      </c>
      <c r="AL190" s="20">
        <f t="shared" si="70"/>
        <v>159</v>
      </c>
      <c r="AM190" s="117">
        <f t="shared" si="71"/>
        <v>954000000</v>
      </c>
      <c r="AN190" s="20"/>
      <c r="AP190" t="s">
        <v>25</v>
      </c>
    </row>
    <row r="191" spans="16:43">
      <c r="Q191" s="213"/>
      <c r="R191" s="213" t="s">
        <v>4495</v>
      </c>
      <c r="S191" s="113">
        <v>2000000</v>
      </c>
      <c r="T191" s="168" t="s">
        <v>4646</v>
      </c>
      <c r="U191" s="168">
        <v>27363</v>
      </c>
      <c r="V191" s="113">
        <v>239.3886</v>
      </c>
      <c r="W191" s="113">
        <f t="shared" si="65"/>
        <v>6550390.2617999995</v>
      </c>
      <c r="X191" s="99" t="s">
        <v>452</v>
      </c>
      <c r="Y191" t="s">
        <v>25</v>
      </c>
      <c r="AH191" s="99">
        <v>171</v>
      </c>
      <c r="AI191" s="113" t="s">
        <v>5156</v>
      </c>
      <c r="AJ191" s="113">
        <v>150000</v>
      </c>
      <c r="AK191" s="99">
        <v>7</v>
      </c>
      <c r="AL191" s="20">
        <f t="shared" ref="AL191:AL233" si="72">AL192+AK191</f>
        <v>151</v>
      </c>
      <c r="AM191" s="117">
        <f t="shared" ref="AM191:AM233" si="73">AJ191*AL191</f>
        <v>22650000</v>
      </c>
      <c r="AN191" s="20"/>
    </row>
    <row r="192" spans="16:43">
      <c r="Q192" s="213"/>
      <c r="R192" s="213" t="s">
        <v>991</v>
      </c>
      <c r="S192" s="113">
        <v>3000000</v>
      </c>
      <c r="T192" s="210" t="s">
        <v>4648</v>
      </c>
      <c r="U192" s="210">
        <v>27437</v>
      </c>
      <c r="V192" s="113">
        <v>242.4015</v>
      </c>
      <c r="W192" s="113">
        <f t="shared" si="65"/>
        <v>6650769.9555000002</v>
      </c>
      <c r="X192" s="99" t="s">
        <v>749</v>
      </c>
      <c r="AH192" s="99">
        <v>172</v>
      </c>
      <c r="AI192" s="113" t="s">
        <v>5192</v>
      </c>
      <c r="AJ192" s="113">
        <v>400000</v>
      </c>
      <c r="AK192" s="99">
        <v>1</v>
      </c>
      <c r="AL192" s="20">
        <f t="shared" si="72"/>
        <v>144</v>
      </c>
      <c r="AM192" s="117">
        <f t="shared" si="73"/>
        <v>57600000</v>
      </c>
      <c r="AN192" s="20"/>
    </row>
    <row r="193" spans="15:45">
      <c r="P193" s="114"/>
      <c r="Q193" s="213"/>
      <c r="R193" s="213" t="s">
        <v>4637</v>
      </c>
      <c r="S193" s="113">
        <v>3000000</v>
      </c>
      <c r="T193" s="210" t="s">
        <v>4648</v>
      </c>
      <c r="U193" s="210">
        <v>29104</v>
      </c>
      <c r="V193" s="113">
        <v>242.4015</v>
      </c>
      <c r="W193" s="113">
        <f t="shared" si="65"/>
        <v>7054853.2560000001</v>
      </c>
      <c r="X193" s="99" t="s">
        <v>452</v>
      </c>
      <c r="AH193" s="99">
        <v>173</v>
      </c>
      <c r="AI193" s="113" t="s">
        <v>5196</v>
      </c>
      <c r="AJ193" s="113">
        <v>-100000</v>
      </c>
      <c r="AK193" s="99">
        <v>1</v>
      </c>
      <c r="AL193" s="20">
        <f t="shared" si="72"/>
        <v>143</v>
      </c>
      <c r="AM193" s="117">
        <f t="shared" si="73"/>
        <v>-14300000</v>
      </c>
      <c r="AN193" s="20"/>
    </row>
    <row r="194" spans="15:45">
      <c r="P194" s="114"/>
      <c r="Q194" s="213" t="s">
        <v>4810</v>
      </c>
      <c r="R194" s="213" t="s">
        <v>4805</v>
      </c>
      <c r="S194" s="113">
        <v>-800000</v>
      </c>
      <c r="T194" s="213" t="s">
        <v>4665</v>
      </c>
      <c r="U194" s="213">
        <v>8991</v>
      </c>
      <c r="V194" s="113">
        <v>238.64867000000001</v>
      </c>
      <c r="W194" s="113">
        <f t="shared" si="65"/>
        <v>2145690.19197</v>
      </c>
      <c r="X194" s="99" t="s">
        <v>749</v>
      </c>
      <c r="Y194" t="s">
        <v>25</v>
      </c>
      <c r="AH194" s="99">
        <v>174</v>
      </c>
      <c r="AI194" s="113" t="s">
        <v>5200</v>
      </c>
      <c r="AJ194" s="113">
        <v>10000000</v>
      </c>
      <c r="AK194" s="99">
        <v>1</v>
      </c>
      <c r="AL194" s="20">
        <f t="shared" si="72"/>
        <v>142</v>
      </c>
      <c r="AM194" s="117">
        <f t="shared" si="73"/>
        <v>1420000000</v>
      </c>
      <c r="AN194" s="20" t="s">
        <v>4731</v>
      </c>
      <c r="AS194" t="s">
        <v>25</v>
      </c>
    </row>
    <row r="195" spans="15:45">
      <c r="P195" s="114"/>
      <c r="Q195" s="213" t="s">
        <v>4811</v>
      </c>
      <c r="R195" s="213" t="s">
        <v>4805</v>
      </c>
      <c r="S195" s="113">
        <v>-900000</v>
      </c>
      <c r="T195" s="213" t="s">
        <v>4665</v>
      </c>
      <c r="U195" s="213">
        <v>8991</v>
      </c>
      <c r="V195" s="113">
        <v>238.64867000000001</v>
      </c>
      <c r="W195" s="113">
        <f t="shared" si="65"/>
        <v>2145690.19197</v>
      </c>
      <c r="X195" s="99" t="s">
        <v>452</v>
      </c>
      <c r="AH195" s="99">
        <v>175</v>
      </c>
      <c r="AI195" s="113" t="s">
        <v>5205</v>
      </c>
      <c r="AJ195" s="113">
        <v>-400000</v>
      </c>
      <c r="AK195" s="99">
        <v>6</v>
      </c>
      <c r="AL195" s="20">
        <f t="shared" ref="AL195:AL203" si="74">AL196+AK195</f>
        <v>141</v>
      </c>
      <c r="AM195" s="117">
        <f t="shared" ref="AM195:AM203" si="75">AJ195*AL195</f>
        <v>-56400000</v>
      </c>
      <c r="AN195" s="20"/>
    </row>
    <row r="196" spans="15:45">
      <c r="O196" t="s">
        <v>25</v>
      </c>
      <c r="P196" s="114"/>
      <c r="Q196" s="213" t="s">
        <v>4811</v>
      </c>
      <c r="R196" s="213" t="s">
        <v>978</v>
      </c>
      <c r="S196" s="113">
        <v>-1100000</v>
      </c>
      <c r="T196" s="213" t="s">
        <v>4676</v>
      </c>
      <c r="U196" s="213">
        <v>18170</v>
      </c>
      <c r="V196" s="113">
        <v>240.48475999999999</v>
      </c>
      <c r="W196" s="113">
        <f t="shared" si="65"/>
        <v>4369608.0892000003</v>
      </c>
      <c r="X196" s="99" t="s">
        <v>749</v>
      </c>
      <c r="Z196" t="s">
        <v>25</v>
      </c>
      <c r="AA196" t="s">
        <v>25</v>
      </c>
      <c r="AH196" s="99">
        <v>176</v>
      </c>
      <c r="AI196" s="113" t="s">
        <v>5212</v>
      </c>
      <c r="AJ196" s="113">
        <v>1300000</v>
      </c>
      <c r="AK196" s="99">
        <v>0</v>
      </c>
      <c r="AL196" s="20">
        <f t="shared" si="74"/>
        <v>135</v>
      </c>
      <c r="AM196" s="117">
        <f t="shared" si="75"/>
        <v>175500000</v>
      </c>
      <c r="AN196" s="20"/>
      <c r="AR196" t="s">
        <v>25</v>
      </c>
    </row>
    <row r="197" spans="15:45">
      <c r="P197" s="114"/>
      <c r="Q197" s="190" t="s">
        <v>1083</v>
      </c>
      <c r="R197" s="190" t="s">
        <v>4834</v>
      </c>
      <c r="S197" s="196">
        <v>30000000</v>
      </c>
      <c r="T197" s="213" t="s">
        <v>4676</v>
      </c>
      <c r="U197" s="213">
        <v>18170</v>
      </c>
      <c r="V197" s="113">
        <v>240.48475999999999</v>
      </c>
      <c r="W197" s="113">
        <f t="shared" si="65"/>
        <v>4369608.0892000003</v>
      </c>
      <c r="X197" s="99" t="s">
        <v>452</v>
      </c>
      <c r="Y197" t="s">
        <v>25</v>
      </c>
      <c r="AH197" s="99">
        <v>177</v>
      </c>
      <c r="AI197" s="113" t="s">
        <v>5212</v>
      </c>
      <c r="AJ197" s="113">
        <v>230000</v>
      </c>
      <c r="AK197" s="99">
        <v>1</v>
      </c>
      <c r="AL197" s="20">
        <f t="shared" si="74"/>
        <v>135</v>
      </c>
      <c r="AM197" s="117">
        <f t="shared" si="75"/>
        <v>31050000</v>
      </c>
      <c r="AN197" s="20"/>
    </row>
    <row r="198" spans="15:45">
      <c r="P198" s="114"/>
      <c r="Q198" s="19" t="s">
        <v>4918</v>
      </c>
      <c r="R198" s="19" t="s">
        <v>4916</v>
      </c>
      <c r="S198" s="117">
        <v>2000000</v>
      </c>
      <c r="T198" s="213" t="s">
        <v>4678</v>
      </c>
      <c r="U198" s="213">
        <v>36797</v>
      </c>
      <c r="V198" s="113">
        <v>239.0822</v>
      </c>
      <c r="W198" s="113">
        <f t="shared" si="65"/>
        <v>8797507.7134000007</v>
      </c>
      <c r="X198" s="99" t="s">
        <v>749</v>
      </c>
      <c r="Y198" t="s">
        <v>25</v>
      </c>
      <c r="AH198" s="99">
        <v>178</v>
      </c>
      <c r="AI198" s="113" t="s">
        <v>5215</v>
      </c>
      <c r="AJ198" s="113">
        <v>880000</v>
      </c>
      <c r="AK198" s="99">
        <v>4</v>
      </c>
      <c r="AL198" s="20">
        <f t="shared" si="74"/>
        <v>134</v>
      </c>
      <c r="AM198" s="117">
        <f t="shared" si="75"/>
        <v>117920000</v>
      </c>
      <c r="AN198" s="20"/>
    </row>
    <row r="199" spans="15:45">
      <c r="P199" s="114"/>
      <c r="Q199" s="189" t="s">
        <v>4943</v>
      </c>
      <c r="R199" s="189" t="s">
        <v>4942</v>
      </c>
      <c r="S199" s="188">
        <v>480105</v>
      </c>
      <c r="T199" s="213" t="s">
        <v>4678</v>
      </c>
      <c r="U199" s="213">
        <v>36797</v>
      </c>
      <c r="V199" s="113">
        <v>239.0822</v>
      </c>
      <c r="W199" s="113">
        <f t="shared" si="65"/>
        <v>8797507.7134000007</v>
      </c>
      <c r="X199" s="99" t="s">
        <v>452</v>
      </c>
      <c r="Y199" t="s">
        <v>25</v>
      </c>
      <c r="AH199" s="99">
        <v>179</v>
      </c>
      <c r="AI199" s="113" t="s">
        <v>5220</v>
      </c>
      <c r="AJ199" s="113">
        <v>-900000</v>
      </c>
      <c r="AK199" s="99">
        <v>1</v>
      </c>
      <c r="AL199" s="20">
        <f t="shared" si="74"/>
        <v>130</v>
      </c>
      <c r="AM199" s="117">
        <f t="shared" si="75"/>
        <v>-117000000</v>
      </c>
      <c r="AN199" s="20"/>
    </row>
    <row r="200" spans="15:45">
      <c r="P200" s="114"/>
      <c r="Q200" s="189"/>
      <c r="R200" s="189" t="s">
        <v>4988</v>
      </c>
      <c r="S200" s="188">
        <v>30500000</v>
      </c>
      <c r="T200" s="213" t="s">
        <v>4687</v>
      </c>
      <c r="U200" s="213">
        <v>28066</v>
      </c>
      <c r="V200" s="113">
        <v>237.56970000000001</v>
      </c>
      <c r="W200" s="113">
        <f t="shared" si="65"/>
        <v>6667631.2002000008</v>
      </c>
      <c r="X200" s="99" t="s">
        <v>749</v>
      </c>
      <c r="AH200" s="99">
        <v>180</v>
      </c>
      <c r="AI200" s="113" t="s">
        <v>989</v>
      </c>
      <c r="AJ200" s="113">
        <v>-3500000</v>
      </c>
      <c r="AK200" s="99">
        <v>1</v>
      </c>
      <c r="AL200" s="20">
        <f t="shared" si="74"/>
        <v>129</v>
      </c>
      <c r="AM200" s="117">
        <f t="shared" si="75"/>
        <v>-451500000</v>
      </c>
      <c r="AN200" s="20"/>
      <c r="AR200" t="s">
        <v>25</v>
      </c>
    </row>
    <row r="201" spans="15:45">
      <c r="Q201" s="19" t="s">
        <v>5019</v>
      </c>
      <c r="R201" s="19" t="s">
        <v>5014</v>
      </c>
      <c r="S201" s="117">
        <v>-400000</v>
      </c>
      <c r="T201" s="213" t="s">
        <v>4687</v>
      </c>
      <c r="U201" s="213">
        <v>28066</v>
      </c>
      <c r="V201" s="113">
        <v>237.56970000000001</v>
      </c>
      <c r="W201" s="113">
        <f t="shared" si="65"/>
        <v>6667631.2002000008</v>
      </c>
      <c r="X201" s="99" t="s">
        <v>452</v>
      </c>
      <c r="Z201" t="s">
        <v>25</v>
      </c>
      <c r="AH201" s="99">
        <v>181</v>
      </c>
      <c r="AI201" s="113" t="s">
        <v>4271</v>
      </c>
      <c r="AJ201" s="113">
        <v>-1600000</v>
      </c>
      <c r="AK201" s="99">
        <v>1</v>
      </c>
      <c r="AL201" s="20">
        <f t="shared" si="74"/>
        <v>128</v>
      </c>
      <c r="AM201" s="117">
        <f t="shared" si="75"/>
        <v>-204800000</v>
      </c>
      <c r="AN201" s="20"/>
      <c r="AQ201" t="s">
        <v>25</v>
      </c>
    </row>
    <row r="202" spans="15:45">
      <c r="P202" s="114"/>
      <c r="Q202" s="189" t="s">
        <v>5132</v>
      </c>
      <c r="R202" s="189" t="s">
        <v>5049</v>
      </c>
      <c r="S202" s="188">
        <v>-349550</v>
      </c>
      <c r="T202" s="213" t="s">
        <v>3680</v>
      </c>
      <c r="U202" s="213">
        <v>37457</v>
      </c>
      <c r="V202" s="113">
        <v>239.77</v>
      </c>
      <c r="W202" s="113">
        <f t="shared" si="65"/>
        <v>8981064.8900000006</v>
      </c>
      <c r="X202" s="99" t="s">
        <v>749</v>
      </c>
      <c r="AH202" s="99">
        <v>182</v>
      </c>
      <c r="AI202" s="113" t="s">
        <v>5226</v>
      </c>
      <c r="AJ202" s="113">
        <v>-800000</v>
      </c>
      <c r="AK202" s="99">
        <v>7</v>
      </c>
      <c r="AL202" s="20">
        <f t="shared" si="74"/>
        <v>127</v>
      </c>
      <c r="AM202" s="117">
        <f t="shared" si="75"/>
        <v>-101600000</v>
      </c>
      <c r="AN202" s="20"/>
    </row>
    <row r="203" spans="15:45">
      <c r="P203" s="114"/>
      <c r="Q203" s="189" t="s">
        <v>5162</v>
      </c>
      <c r="R203" s="189" t="s">
        <v>5159</v>
      </c>
      <c r="S203" s="188">
        <v>11500000</v>
      </c>
      <c r="T203" s="213" t="s">
        <v>3680</v>
      </c>
      <c r="U203" s="213">
        <v>37457</v>
      </c>
      <c r="V203" s="113">
        <v>239.77</v>
      </c>
      <c r="W203" s="113">
        <f t="shared" si="65"/>
        <v>8981064.8900000006</v>
      </c>
      <c r="X203" s="99" t="s">
        <v>452</v>
      </c>
      <c r="Y203" s="122" t="s">
        <v>25</v>
      </c>
      <c r="AH203" s="99">
        <v>183</v>
      </c>
      <c r="AI203" s="113" t="s">
        <v>5235</v>
      </c>
      <c r="AJ203" s="113">
        <v>50000</v>
      </c>
      <c r="AK203" s="99">
        <v>2</v>
      </c>
      <c r="AL203" s="20">
        <f t="shared" si="74"/>
        <v>120</v>
      </c>
      <c r="AM203" s="117">
        <f t="shared" si="75"/>
        <v>6000000</v>
      </c>
      <c r="AN203" s="20"/>
    </row>
    <row r="204" spans="15:45">
      <c r="Q204" s="189" t="s">
        <v>5191</v>
      </c>
      <c r="R204" s="189" t="s">
        <v>5190</v>
      </c>
      <c r="S204" s="188">
        <v>6000000</v>
      </c>
      <c r="T204" s="213" t="s">
        <v>4699</v>
      </c>
      <c r="U204" s="213">
        <v>38412</v>
      </c>
      <c r="V204" s="113">
        <v>239.03</v>
      </c>
      <c r="W204" s="113">
        <f t="shared" si="65"/>
        <v>9181620.3599999994</v>
      </c>
      <c r="X204" s="99" t="s">
        <v>749</v>
      </c>
      <c r="AH204" s="99">
        <v>184</v>
      </c>
      <c r="AI204" s="113" t="s">
        <v>5237</v>
      </c>
      <c r="AJ204" s="113">
        <v>400000</v>
      </c>
      <c r="AK204" s="99">
        <v>8</v>
      </c>
      <c r="AL204" s="20">
        <f t="shared" ref="AL204:AL213" si="76">AL205+AK204</f>
        <v>118</v>
      </c>
      <c r="AM204" s="117">
        <f t="shared" ref="AM204:AM213" si="77">AJ204*AL204</f>
        <v>47200000</v>
      </c>
      <c r="AN204" s="20"/>
      <c r="AR204" t="s">
        <v>25</v>
      </c>
    </row>
    <row r="205" spans="15:45">
      <c r="P205" s="114"/>
      <c r="Q205" s="189" t="s">
        <v>5193</v>
      </c>
      <c r="R205" s="189" t="s">
        <v>5192</v>
      </c>
      <c r="S205" s="188">
        <v>1500000</v>
      </c>
      <c r="T205" s="213" t="s">
        <v>4699</v>
      </c>
      <c r="U205" s="213">
        <v>38412</v>
      </c>
      <c r="V205" s="113">
        <v>239.03</v>
      </c>
      <c r="W205" s="113">
        <f t="shared" si="65"/>
        <v>9181620.3599999994</v>
      </c>
      <c r="X205" s="99" t="s">
        <v>452</v>
      </c>
      <c r="Y205" t="s">
        <v>25</v>
      </c>
      <c r="AH205" s="99">
        <v>185</v>
      </c>
      <c r="AI205" s="113" t="s">
        <v>5210</v>
      </c>
      <c r="AJ205" s="113">
        <v>-10000000</v>
      </c>
      <c r="AK205" s="99">
        <v>0</v>
      </c>
      <c r="AL205" s="20">
        <f t="shared" si="76"/>
        <v>110</v>
      </c>
      <c r="AM205" s="117">
        <f t="shared" si="77"/>
        <v>-1100000000</v>
      </c>
      <c r="AN205" s="20" t="s">
        <v>5044</v>
      </c>
    </row>
    <row r="206" spans="15:45">
      <c r="P206" s="114"/>
      <c r="Q206" s="19" t="s">
        <v>5019</v>
      </c>
      <c r="R206" s="19" t="s">
        <v>5200</v>
      </c>
      <c r="S206" s="117">
        <v>-200000</v>
      </c>
      <c r="T206" s="213" t="s">
        <v>4702</v>
      </c>
      <c r="U206" s="213">
        <v>49555</v>
      </c>
      <c r="V206" s="113">
        <v>238.345</v>
      </c>
      <c r="W206" s="113">
        <f t="shared" si="65"/>
        <v>11811186.475</v>
      </c>
      <c r="X206" s="99" t="s">
        <v>749</v>
      </c>
      <c r="AH206" s="99">
        <v>186</v>
      </c>
      <c r="AI206" s="113" t="s">
        <v>5210</v>
      </c>
      <c r="AJ206" s="113">
        <v>3000000</v>
      </c>
      <c r="AK206" s="99">
        <v>1</v>
      </c>
      <c r="AL206" s="20">
        <f t="shared" si="76"/>
        <v>110</v>
      </c>
      <c r="AM206" s="117">
        <f t="shared" si="77"/>
        <v>330000000</v>
      </c>
      <c r="AN206" s="20"/>
    </row>
    <row r="207" spans="15:45">
      <c r="Q207" s="190" t="s">
        <v>5221</v>
      </c>
      <c r="R207" s="190" t="s">
        <v>5220</v>
      </c>
      <c r="S207" s="196">
        <v>1000000</v>
      </c>
      <c r="T207" s="213" t="s">
        <v>4702</v>
      </c>
      <c r="U207" s="213">
        <v>49555</v>
      </c>
      <c r="V207" s="113">
        <v>238.345</v>
      </c>
      <c r="W207" s="113">
        <f t="shared" si="65"/>
        <v>11811186.475</v>
      </c>
      <c r="X207" s="99" t="s">
        <v>452</v>
      </c>
      <c r="AH207" s="99">
        <v>187</v>
      </c>
      <c r="AI207" s="113" t="s">
        <v>5251</v>
      </c>
      <c r="AJ207" s="113">
        <v>500000</v>
      </c>
      <c r="AK207" s="99">
        <v>23</v>
      </c>
      <c r="AL207" s="20">
        <f t="shared" si="76"/>
        <v>109</v>
      </c>
      <c r="AM207" s="117">
        <f t="shared" si="77"/>
        <v>54500000</v>
      </c>
      <c r="AN207" s="20"/>
      <c r="AR207" t="s">
        <v>25</v>
      </c>
    </row>
    <row r="208" spans="15:45">
      <c r="P208" s="114"/>
      <c r="Q208" s="19" t="s">
        <v>5019</v>
      </c>
      <c r="R208" s="19" t="s">
        <v>5235</v>
      </c>
      <c r="S208" s="117">
        <v>-122000</v>
      </c>
      <c r="T208" s="213" t="s">
        <v>4716</v>
      </c>
      <c r="U208" s="213">
        <v>160187</v>
      </c>
      <c r="V208" s="113">
        <v>257.49799999999999</v>
      </c>
      <c r="W208" s="113">
        <f t="shared" si="65"/>
        <v>41247832.126000002</v>
      </c>
      <c r="X208" s="99" t="s">
        <v>749</v>
      </c>
      <c r="AH208" s="99">
        <v>188</v>
      </c>
      <c r="AI208" s="113" t="s">
        <v>5275</v>
      </c>
      <c r="AJ208" s="113">
        <v>101268</v>
      </c>
      <c r="AK208" s="99">
        <v>1</v>
      </c>
      <c r="AL208" s="20">
        <f t="shared" si="76"/>
        <v>86</v>
      </c>
      <c r="AM208" s="117">
        <f t="shared" si="77"/>
        <v>8709048</v>
      </c>
      <c r="AN208" s="20"/>
      <c r="AR208" t="s">
        <v>25</v>
      </c>
    </row>
    <row r="209" spans="16:46">
      <c r="Q209" s="19" t="s">
        <v>5019</v>
      </c>
      <c r="R209" s="19" t="s">
        <v>5243</v>
      </c>
      <c r="S209" s="117">
        <v>-700000</v>
      </c>
      <c r="T209" s="213" t="s">
        <v>4716</v>
      </c>
      <c r="U209" s="213">
        <v>160187</v>
      </c>
      <c r="V209" s="113">
        <v>257.49799999999999</v>
      </c>
      <c r="W209" s="113">
        <f t="shared" si="65"/>
        <v>41247832.126000002</v>
      </c>
      <c r="X209" s="99" t="s">
        <v>452</v>
      </c>
      <c r="AH209" s="99">
        <v>189</v>
      </c>
      <c r="AI209" s="113" t="s">
        <v>5278</v>
      </c>
      <c r="AJ209" s="113">
        <v>101000</v>
      </c>
      <c r="AK209" s="99">
        <v>34</v>
      </c>
      <c r="AL209" s="20">
        <f t="shared" si="76"/>
        <v>85</v>
      </c>
      <c r="AM209" s="117">
        <f t="shared" si="77"/>
        <v>8585000</v>
      </c>
      <c r="AN209" s="20"/>
      <c r="AP209" t="s">
        <v>25</v>
      </c>
      <c r="AT209" s="96" t="s">
        <v>25</v>
      </c>
    </row>
    <row r="210" spans="16:46">
      <c r="P210" t="s">
        <v>25</v>
      </c>
      <c r="Q210" s="19" t="s">
        <v>5019</v>
      </c>
      <c r="R210" s="19" t="s">
        <v>5255</v>
      </c>
      <c r="S210" s="117">
        <v>-60000</v>
      </c>
      <c r="T210" s="213" t="s">
        <v>4723</v>
      </c>
      <c r="U210" s="213">
        <v>144401</v>
      </c>
      <c r="V210" s="113">
        <v>258.5061</v>
      </c>
      <c r="W210" s="113">
        <f t="shared" si="65"/>
        <v>37328539.346100003</v>
      </c>
      <c r="X210" s="99" t="s">
        <v>749</v>
      </c>
      <c r="Y210" s="8" t="s">
        <v>25</v>
      </c>
      <c r="Z210" t="s">
        <v>25</v>
      </c>
      <c r="AH210" s="99">
        <v>190</v>
      </c>
      <c r="AI210" s="113" t="s">
        <v>5303</v>
      </c>
      <c r="AJ210" s="113">
        <v>-488602</v>
      </c>
      <c r="AK210" s="99">
        <v>5</v>
      </c>
      <c r="AL210" s="20">
        <f t="shared" si="76"/>
        <v>51</v>
      </c>
      <c r="AM210" s="117">
        <f t="shared" si="77"/>
        <v>-24918702</v>
      </c>
      <c r="AN210" s="20"/>
      <c r="AR210" t="s">
        <v>25</v>
      </c>
    </row>
    <row r="211" spans="16:46">
      <c r="Q211" s="19" t="s">
        <v>4435</v>
      </c>
      <c r="R211" s="19" t="s">
        <v>5317</v>
      </c>
      <c r="S211" s="117">
        <v>700000</v>
      </c>
      <c r="T211" s="213" t="s">
        <v>4723</v>
      </c>
      <c r="U211" s="213">
        <v>144401</v>
      </c>
      <c r="V211" s="113">
        <v>258.5061</v>
      </c>
      <c r="W211" s="113">
        <f t="shared" si="65"/>
        <v>37328539.346100003</v>
      </c>
      <c r="X211" s="99" t="s">
        <v>452</v>
      </c>
      <c r="AH211" s="99">
        <v>191</v>
      </c>
      <c r="AI211" s="113" t="s">
        <v>5317</v>
      </c>
      <c r="AJ211" s="113">
        <v>360000</v>
      </c>
      <c r="AK211" s="99">
        <v>10</v>
      </c>
      <c r="AL211" s="20">
        <f t="shared" si="76"/>
        <v>46</v>
      </c>
      <c r="AM211" s="117">
        <f t="shared" si="77"/>
        <v>16560000</v>
      </c>
      <c r="AN211" s="20"/>
      <c r="AR211" t="s">
        <v>25</v>
      </c>
    </row>
    <row r="212" spans="16:46">
      <c r="P212" s="114"/>
      <c r="Q212" s="189" t="s">
        <v>5327</v>
      </c>
      <c r="R212" s="189" t="s">
        <v>5326</v>
      </c>
      <c r="S212" s="188">
        <v>-2000000</v>
      </c>
      <c r="T212" s="168" t="s">
        <v>4729</v>
      </c>
      <c r="U212" s="168">
        <v>196500</v>
      </c>
      <c r="V212" s="113">
        <v>254.452</v>
      </c>
      <c r="W212" s="113">
        <f t="shared" si="65"/>
        <v>49999818</v>
      </c>
      <c r="X212" s="99" t="s">
        <v>4733</v>
      </c>
      <c r="AH212" s="99">
        <v>192</v>
      </c>
      <c r="AI212" s="113" t="s">
        <v>5329</v>
      </c>
      <c r="AJ212" s="113">
        <v>-3600000</v>
      </c>
      <c r="AK212" s="99">
        <v>4</v>
      </c>
      <c r="AL212" s="20">
        <f t="shared" si="76"/>
        <v>36</v>
      </c>
      <c r="AM212" s="117">
        <f t="shared" si="77"/>
        <v>-129600000</v>
      </c>
      <c r="AN212" s="20"/>
      <c r="AS212" t="s">
        <v>25</v>
      </c>
    </row>
    <row r="213" spans="16:46">
      <c r="P213" s="114"/>
      <c r="Q213" s="189" t="s">
        <v>5335</v>
      </c>
      <c r="R213" s="189" t="s">
        <v>5329</v>
      </c>
      <c r="S213" s="188">
        <v>2000000</v>
      </c>
      <c r="T213" s="213" t="s">
        <v>4729</v>
      </c>
      <c r="U213" s="213">
        <v>2561</v>
      </c>
      <c r="V213" s="113">
        <v>254.536</v>
      </c>
      <c r="W213" s="113">
        <f t="shared" si="65"/>
        <v>651866.696</v>
      </c>
      <c r="X213" s="99" t="s">
        <v>4734</v>
      </c>
      <c r="AH213" s="99">
        <v>193</v>
      </c>
      <c r="AI213" s="113" t="s">
        <v>5339</v>
      </c>
      <c r="AJ213" s="113">
        <v>-1000000</v>
      </c>
      <c r="AK213" s="99">
        <v>5</v>
      </c>
      <c r="AL213" s="20">
        <f t="shared" si="76"/>
        <v>32</v>
      </c>
      <c r="AM213" s="117">
        <f t="shared" si="77"/>
        <v>-32000000</v>
      </c>
      <c r="AN213" s="20"/>
      <c r="AR213" t="s">
        <v>25</v>
      </c>
    </row>
    <row r="214" spans="16:46">
      <c r="P214" s="114"/>
      <c r="Q214" s="189" t="s">
        <v>1083</v>
      </c>
      <c r="R214" s="189" t="s">
        <v>5342</v>
      </c>
      <c r="S214" s="188">
        <v>40000000</v>
      </c>
      <c r="T214" s="213" t="s">
        <v>4777</v>
      </c>
      <c r="U214" s="213">
        <v>-11795</v>
      </c>
      <c r="V214" s="113">
        <v>254.334</v>
      </c>
      <c r="W214" s="113">
        <f t="shared" si="65"/>
        <v>-2999869.5300000003</v>
      </c>
      <c r="X214" s="99" t="s">
        <v>4778</v>
      </c>
      <c r="AH214" s="99">
        <v>194</v>
      </c>
      <c r="AI214" s="113" t="s">
        <v>5345</v>
      </c>
      <c r="AJ214" s="113">
        <v>360000</v>
      </c>
      <c r="AK214" s="99">
        <v>2</v>
      </c>
      <c r="AL214" s="20">
        <f t="shared" ref="AL214:AL218" si="78">AL215+AK214</f>
        <v>27</v>
      </c>
      <c r="AM214" s="117">
        <f t="shared" ref="AM214:AM219" si="79">AJ214*AL214</f>
        <v>9720000</v>
      </c>
      <c r="AN214" s="20"/>
      <c r="AQ214" t="s">
        <v>25</v>
      </c>
    </row>
    <row r="215" spans="16:46">
      <c r="P215" s="114"/>
      <c r="Q215" s="19" t="s">
        <v>4435</v>
      </c>
      <c r="R215" s="19" t="s">
        <v>5347</v>
      </c>
      <c r="S215" s="117">
        <v>-800000</v>
      </c>
      <c r="T215" s="213" t="s">
        <v>4777</v>
      </c>
      <c r="U215" s="213">
        <v>11795</v>
      </c>
      <c r="V215" s="113">
        <v>254.334</v>
      </c>
      <c r="W215" s="113">
        <f t="shared" si="65"/>
        <v>2999869.5300000003</v>
      </c>
      <c r="X215" s="99" t="s">
        <v>4779</v>
      </c>
      <c r="AH215" s="99">
        <v>195</v>
      </c>
      <c r="AI215" s="113" t="s">
        <v>5350</v>
      </c>
      <c r="AJ215" s="113">
        <v>2000000</v>
      </c>
      <c r="AK215" s="99">
        <v>1</v>
      </c>
      <c r="AL215" s="20">
        <f t="shared" si="78"/>
        <v>25</v>
      </c>
      <c r="AM215" s="117">
        <f t="shared" si="79"/>
        <v>50000000</v>
      </c>
      <c r="AN215" s="20"/>
    </row>
    <row r="216" spans="16:46">
      <c r="P216" s="114"/>
      <c r="Q216" s="213" t="s">
        <v>4435</v>
      </c>
      <c r="R216" s="213" t="s">
        <v>5441</v>
      </c>
      <c r="S216" s="117">
        <v>700000</v>
      </c>
      <c r="T216" s="213" t="s">
        <v>4791</v>
      </c>
      <c r="U216" s="213">
        <v>260</v>
      </c>
      <c r="V216" s="113">
        <v>263.19</v>
      </c>
      <c r="W216" s="113">
        <f t="shared" si="65"/>
        <v>68429.399999999994</v>
      </c>
      <c r="X216" s="99" t="s">
        <v>452</v>
      </c>
      <c r="AH216" s="99">
        <v>196</v>
      </c>
      <c r="AI216" s="113" t="s">
        <v>5353</v>
      </c>
      <c r="AJ216" s="113">
        <v>20000000</v>
      </c>
      <c r="AK216" s="99">
        <v>0</v>
      </c>
      <c r="AL216" s="20">
        <f t="shared" si="78"/>
        <v>24</v>
      </c>
      <c r="AM216" s="117">
        <f t="shared" si="79"/>
        <v>480000000</v>
      </c>
      <c r="AN216" s="20" t="s">
        <v>4731</v>
      </c>
      <c r="AR216" t="s">
        <v>25</v>
      </c>
    </row>
    <row r="217" spans="16:46">
      <c r="P217" s="114"/>
      <c r="Q217" s="189" t="s">
        <v>5462</v>
      </c>
      <c r="R217" s="189" t="s">
        <v>5460</v>
      </c>
      <c r="S217" s="188">
        <v>-26000000</v>
      </c>
      <c r="T217" s="213" t="s">
        <v>4800</v>
      </c>
      <c r="U217" s="213">
        <v>15257</v>
      </c>
      <c r="V217" s="113">
        <v>262.19018</v>
      </c>
      <c r="W217" s="113">
        <f t="shared" si="65"/>
        <v>4000235.57626</v>
      </c>
      <c r="X217" s="99" t="s">
        <v>452</v>
      </c>
      <c r="AH217" s="99">
        <v>197</v>
      </c>
      <c r="AI217" s="113" t="s">
        <v>5353</v>
      </c>
      <c r="AJ217" s="113">
        <v>-4700000</v>
      </c>
      <c r="AK217" s="99">
        <v>1</v>
      </c>
      <c r="AL217" s="20">
        <f t="shared" si="78"/>
        <v>24</v>
      </c>
      <c r="AM217" s="117">
        <f t="shared" si="79"/>
        <v>-112800000</v>
      </c>
      <c r="AN217" s="20"/>
    </row>
    <row r="218" spans="16:46">
      <c r="P218" s="114"/>
      <c r="Q218" s="189" t="s">
        <v>5462</v>
      </c>
      <c r="R218" s="189" t="s">
        <v>5466</v>
      </c>
      <c r="S218" s="188">
        <v>-95900000</v>
      </c>
      <c r="T218" s="213" t="s">
        <v>4800</v>
      </c>
      <c r="U218" s="213">
        <v>8444</v>
      </c>
      <c r="V218" s="113">
        <v>266.43029999999999</v>
      </c>
      <c r="W218" s="113">
        <f t="shared" si="65"/>
        <v>2249737.4531999999</v>
      </c>
      <c r="X218" s="99" t="s">
        <v>452</v>
      </c>
      <c r="AH218" s="99">
        <v>198</v>
      </c>
      <c r="AI218" s="113" t="s">
        <v>5358</v>
      </c>
      <c r="AJ218" s="113">
        <v>3000000</v>
      </c>
      <c r="AK218" s="99">
        <v>4</v>
      </c>
      <c r="AL218" s="20">
        <f t="shared" si="78"/>
        <v>23</v>
      </c>
      <c r="AM218" s="117">
        <f t="shared" si="79"/>
        <v>69000000</v>
      </c>
      <c r="AN218" s="20"/>
      <c r="AS218" t="s">
        <v>25</v>
      </c>
    </row>
    <row r="219" spans="16:46">
      <c r="P219" s="114"/>
      <c r="Q219" s="189" t="s">
        <v>5462</v>
      </c>
      <c r="R219" s="189" t="s">
        <v>5467</v>
      </c>
      <c r="S219" s="188">
        <v>-28950000</v>
      </c>
      <c r="T219" s="213" t="s">
        <v>4805</v>
      </c>
      <c r="U219" s="213">
        <v>-6209</v>
      </c>
      <c r="V219" s="113">
        <v>273.79649999999998</v>
      </c>
      <c r="W219" s="113">
        <f t="shared" si="65"/>
        <v>-1700002.4685</v>
      </c>
      <c r="X219" s="99" t="s">
        <v>4816</v>
      </c>
      <c r="AH219" s="99">
        <v>199</v>
      </c>
      <c r="AI219" s="113" t="s">
        <v>5361</v>
      </c>
      <c r="AJ219" s="113">
        <v>1500000</v>
      </c>
      <c r="AK219" s="99">
        <v>1</v>
      </c>
      <c r="AL219" s="20">
        <f>AL226+AK219</f>
        <v>19</v>
      </c>
      <c r="AM219" s="117">
        <f t="shared" si="79"/>
        <v>28500000</v>
      </c>
      <c r="AN219" s="20"/>
    </row>
    <row r="220" spans="16:46">
      <c r="P220" s="114"/>
      <c r="Q220" s="172" t="s">
        <v>5478</v>
      </c>
      <c r="R220" s="172" t="s">
        <v>5476</v>
      </c>
      <c r="S220" s="170">
        <v>2000000</v>
      </c>
      <c r="T220" s="213" t="s">
        <v>4805</v>
      </c>
      <c r="U220" s="213">
        <v>-8014</v>
      </c>
      <c r="V220" s="113">
        <v>273.79649999999998</v>
      </c>
      <c r="W220" s="113">
        <f t="shared" si="65"/>
        <v>-2194205.1510000001</v>
      </c>
      <c r="X220" s="99" t="s">
        <v>749</v>
      </c>
      <c r="AH220" s="99">
        <v>200</v>
      </c>
      <c r="AI220" s="113" t="s">
        <v>5364</v>
      </c>
      <c r="AJ220" s="113">
        <v>30000000</v>
      </c>
      <c r="AK220" s="99">
        <v>33</v>
      </c>
      <c r="AL220" s="20">
        <f t="shared" ref="AL220:AL225" si="80">AL232+AK220</f>
        <v>33</v>
      </c>
      <c r="AM220" s="117">
        <f t="shared" ref="AM220:AM221" si="81">AJ220*AL220</f>
        <v>990000000</v>
      </c>
      <c r="AN220" s="20"/>
    </row>
    <row r="221" spans="16:46">
      <c r="Q221" s="213" t="s">
        <v>5484</v>
      </c>
      <c r="R221" s="213" t="s">
        <v>5482</v>
      </c>
      <c r="S221" s="113">
        <v>1896188</v>
      </c>
      <c r="T221" s="213" t="s">
        <v>4814</v>
      </c>
      <c r="U221" s="213">
        <v>-9176</v>
      </c>
      <c r="V221" s="113">
        <v>273.79649999999998</v>
      </c>
      <c r="W221" s="113">
        <f t="shared" si="65"/>
        <v>-2512356.6839999999</v>
      </c>
      <c r="X221" s="99" t="s">
        <v>452</v>
      </c>
      <c r="AH221" s="99">
        <v>201</v>
      </c>
      <c r="AI221" s="113" t="s">
        <v>5445</v>
      </c>
      <c r="AJ221" s="113">
        <v>3000000</v>
      </c>
      <c r="AK221" s="99">
        <v>1</v>
      </c>
      <c r="AL221" s="20">
        <f t="shared" si="80"/>
        <v>1</v>
      </c>
      <c r="AM221" s="117">
        <f t="shared" si="81"/>
        <v>3000000</v>
      </c>
      <c r="AN221" s="20"/>
    </row>
    <row r="222" spans="16:46">
      <c r="Q222" s="189" t="s">
        <v>5596</v>
      </c>
      <c r="R222" s="189" t="s">
        <v>5593</v>
      </c>
      <c r="S222" s="188">
        <v>0</v>
      </c>
      <c r="T222" s="213" t="s">
        <v>4814</v>
      </c>
      <c r="U222" s="213">
        <v>1087</v>
      </c>
      <c r="V222" s="113">
        <v>273.79649999999998</v>
      </c>
      <c r="W222" s="113">
        <f t="shared" si="65"/>
        <v>297616.79550000001</v>
      </c>
      <c r="X222" s="99" t="s">
        <v>452</v>
      </c>
      <c r="AH222" s="99">
        <v>202</v>
      </c>
      <c r="AI222" s="113" t="s">
        <v>5446</v>
      </c>
      <c r="AJ222" s="113">
        <v>7000000</v>
      </c>
      <c r="AK222" s="99">
        <v>4</v>
      </c>
      <c r="AL222" s="20">
        <f t="shared" si="80"/>
        <v>4</v>
      </c>
      <c r="AM222" s="117">
        <f t="shared" ref="AM222:AM225" si="82">AJ222*AL222</f>
        <v>28000000</v>
      </c>
      <c r="AN222" s="20"/>
    </row>
    <row r="223" spans="16:46">
      <c r="P223" s="114" t="s">
        <v>25</v>
      </c>
      <c r="Q223" s="213"/>
      <c r="R223" s="213"/>
      <c r="S223" s="113"/>
      <c r="T223" s="213" t="s">
        <v>978</v>
      </c>
      <c r="U223" s="213">
        <v>-4017</v>
      </c>
      <c r="V223" s="113">
        <v>273.79649999999998</v>
      </c>
      <c r="W223" s="113">
        <f t="shared" si="65"/>
        <v>-1099840.5404999999</v>
      </c>
      <c r="X223" s="99" t="s">
        <v>4435</v>
      </c>
      <c r="AH223" s="99">
        <v>203</v>
      </c>
      <c r="AI223" s="113" t="s">
        <v>5459</v>
      </c>
      <c r="AJ223" s="113">
        <v>8800000</v>
      </c>
      <c r="AK223" s="99">
        <v>2</v>
      </c>
      <c r="AL223" s="20">
        <f t="shared" si="80"/>
        <v>2</v>
      </c>
      <c r="AM223" s="117">
        <f t="shared" si="82"/>
        <v>17600000</v>
      </c>
      <c r="AN223" s="20"/>
    </row>
    <row r="224" spans="16:46">
      <c r="P224" s="114"/>
      <c r="Q224" s="213"/>
      <c r="R224" s="213"/>
      <c r="S224" s="113">
        <f>SUM(S188:S222)</f>
        <v>-14005257</v>
      </c>
      <c r="T224" s="213" t="s">
        <v>978</v>
      </c>
      <c r="U224" s="213">
        <v>4017</v>
      </c>
      <c r="V224" s="113">
        <v>273.79649999999998</v>
      </c>
      <c r="W224" s="113">
        <f t="shared" si="65"/>
        <v>1099840.5404999999</v>
      </c>
      <c r="X224" s="99" t="s">
        <v>452</v>
      </c>
      <c r="Z224" t="s">
        <v>25</v>
      </c>
      <c r="AH224" s="99">
        <v>204</v>
      </c>
      <c r="AI224" s="113" t="s">
        <v>5466</v>
      </c>
      <c r="AJ224" s="113">
        <v>40000000</v>
      </c>
      <c r="AK224" s="99">
        <v>8</v>
      </c>
      <c r="AL224" s="20">
        <f t="shared" si="80"/>
        <v>8</v>
      </c>
      <c r="AM224" s="117">
        <f t="shared" si="82"/>
        <v>320000000</v>
      </c>
      <c r="AN224" s="20" t="s">
        <v>4731</v>
      </c>
    </row>
    <row r="225" spans="15:45">
      <c r="Q225" s="41"/>
      <c r="R225" s="213"/>
      <c r="S225" s="213" t="s">
        <v>6</v>
      </c>
      <c r="T225" s="213" t="s">
        <v>4821</v>
      </c>
      <c r="U225" s="213">
        <v>3137</v>
      </c>
      <c r="V225" s="113">
        <v>283.69110000000001</v>
      </c>
      <c r="W225" s="113">
        <f t="shared" si="65"/>
        <v>889938.98070000007</v>
      </c>
      <c r="X225" s="99" t="s">
        <v>452</v>
      </c>
      <c r="AH225" s="99">
        <v>205</v>
      </c>
      <c r="AI225" s="113" t="s">
        <v>5482</v>
      </c>
      <c r="AJ225" s="113">
        <v>400000</v>
      </c>
      <c r="AK225" s="99">
        <v>17</v>
      </c>
      <c r="AL225" s="20">
        <f t="shared" si="80"/>
        <v>17</v>
      </c>
      <c r="AM225" s="117">
        <f t="shared" si="82"/>
        <v>6800000</v>
      </c>
      <c r="AN225" s="20"/>
      <c r="AR225" t="s">
        <v>25</v>
      </c>
    </row>
    <row r="226" spans="15:45">
      <c r="Q226" s="96"/>
      <c r="T226" s="213" t="s">
        <v>4834</v>
      </c>
      <c r="U226" s="213">
        <v>101933</v>
      </c>
      <c r="V226" s="113">
        <v>294.30973999999998</v>
      </c>
      <c r="W226" s="113">
        <f t="shared" si="65"/>
        <v>29999874.727419998</v>
      </c>
      <c r="X226" s="99" t="s">
        <v>1083</v>
      </c>
      <c r="Y226" t="s">
        <v>25</v>
      </c>
      <c r="AH226" s="99">
        <v>206</v>
      </c>
      <c r="AI226" s="113" t="s">
        <v>5505</v>
      </c>
      <c r="AJ226" s="113">
        <v>-20000000</v>
      </c>
      <c r="AK226" s="99">
        <v>18</v>
      </c>
      <c r="AL226" s="20">
        <f t="shared" ref="AL226:AL232" si="83">AL238+AK226</f>
        <v>18</v>
      </c>
      <c r="AM226" s="117">
        <f t="shared" ref="AM226:AM232" si="84">AJ226*AL226</f>
        <v>-360000000</v>
      </c>
      <c r="AN226" s="20" t="s">
        <v>5044</v>
      </c>
    </row>
    <row r="227" spans="15:45">
      <c r="Q227" s="96" t="s">
        <v>25</v>
      </c>
      <c r="R227" s="96" t="s">
        <v>25</v>
      </c>
      <c r="T227" s="213" t="s">
        <v>4841</v>
      </c>
      <c r="U227" s="213">
        <v>3407</v>
      </c>
      <c r="V227" s="113">
        <v>293.43799999999999</v>
      </c>
      <c r="W227" s="113">
        <f t="shared" si="65"/>
        <v>999743.26599999995</v>
      </c>
      <c r="X227" s="99" t="s">
        <v>452</v>
      </c>
      <c r="AH227" s="99">
        <v>207</v>
      </c>
      <c r="AI227" s="113" t="s">
        <v>5532</v>
      </c>
      <c r="AJ227" s="113">
        <v>3006000</v>
      </c>
      <c r="AK227" s="99">
        <v>19</v>
      </c>
      <c r="AL227" s="20">
        <f t="shared" si="83"/>
        <v>19</v>
      </c>
      <c r="AM227" s="117">
        <f t="shared" si="84"/>
        <v>57114000</v>
      </c>
      <c r="AN227" s="20"/>
    </row>
    <row r="228" spans="15:45">
      <c r="Q228" s="96"/>
      <c r="R228" s="96" t="s">
        <v>25</v>
      </c>
      <c r="S228" t="s">
        <v>25</v>
      </c>
      <c r="T228" s="213" t="s">
        <v>4842</v>
      </c>
      <c r="U228" s="213">
        <v>68796</v>
      </c>
      <c r="V228" s="113">
        <v>293.53250000000003</v>
      </c>
      <c r="W228" s="113">
        <f t="shared" si="65"/>
        <v>20193861.870000001</v>
      </c>
      <c r="X228" s="99" t="s">
        <v>749</v>
      </c>
      <c r="Y228" s="96"/>
      <c r="AH228" s="99">
        <v>208</v>
      </c>
      <c r="AI228" s="113" t="s">
        <v>5407</v>
      </c>
      <c r="AJ228" s="113">
        <v>-130382924</v>
      </c>
      <c r="AK228" s="99">
        <v>0</v>
      </c>
      <c r="AL228" s="20">
        <f t="shared" si="83"/>
        <v>0</v>
      </c>
      <c r="AM228" s="117">
        <f t="shared" si="84"/>
        <v>0</v>
      </c>
      <c r="AN228" s="20" t="s">
        <v>5585</v>
      </c>
      <c r="AR228" t="s">
        <v>25</v>
      </c>
    </row>
    <row r="229" spans="15:45">
      <c r="S229" t="s">
        <v>25</v>
      </c>
      <c r="T229" s="213" t="s">
        <v>4842</v>
      </c>
      <c r="U229" s="213">
        <v>154791</v>
      </c>
      <c r="V229" s="113">
        <v>293.53250000000003</v>
      </c>
      <c r="W229" s="113">
        <f t="shared" si="65"/>
        <v>45436189.207500003</v>
      </c>
      <c r="X229" s="99" t="s">
        <v>452</v>
      </c>
      <c r="Y229" t="s">
        <v>25</v>
      </c>
      <c r="AH229" s="99">
        <v>209</v>
      </c>
      <c r="AI229" s="113" t="s">
        <v>5407</v>
      </c>
      <c r="AJ229" s="113">
        <v>125000000</v>
      </c>
      <c r="AK229" s="99">
        <v>1</v>
      </c>
      <c r="AL229" s="20">
        <f t="shared" si="83"/>
        <v>1</v>
      </c>
      <c r="AM229" s="117">
        <f t="shared" si="84"/>
        <v>125000000</v>
      </c>
      <c r="AN229" s="20"/>
    </row>
    <row r="230" spans="15:45">
      <c r="Q230" s="99" t="s">
        <v>749</v>
      </c>
      <c r="R230" s="99"/>
      <c r="T230" s="213" t="s">
        <v>4842</v>
      </c>
      <c r="U230" s="213">
        <v>-11923</v>
      </c>
      <c r="V230" s="113">
        <v>293.53250000000003</v>
      </c>
      <c r="W230" s="113">
        <f t="shared" si="65"/>
        <v>-3499787.9975000005</v>
      </c>
      <c r="X230" s="99" t="s">
        <v>452</v>
      </c>
      <c r="AH230" s="99">
        <v>210</v>
      </c>
      <c r="AI230" s="113" t="s">
        <v>5582</v>
      </c>
      <c r="AJ230" s="113">
        <v>7200000</v>
      </c>
      <c r="AK230" s="99">
        <v>1</v>
      </c>
      <c r="AL230" s="20">
        <f t="shared" si="83"/>
        <v>1</v>
      </c>
      <c r="AM230" s="117">
        <f t="shared" si="84"/>
        <v>7200000</v>
      </c>
      <c r="AN230" s="20"/>
      <c r="AQ230" t="s">
        <v>25</v>
      </c>
      <c r="AS230" t="s">
        <v>25</v>
      </c>
    </row>
    <row r="231" spans="15:45">
      <c r="Q231" s="99" t="s">
        <v>4428</v>
      </c>
      <c r="R231" s="95">
        <v>172908000</v>
      </c>
      <c r="T231" s="213" t="s">
        <v>4855</v>
      </c>
      <c r="U231" s="213">
        <v>8424</v>
      </c>
      <c r="V231" s="113">
        <v>299.15170000000001</v>
      </c>
      <c r="W231" s="113">
        <f t="shared" si="65"/>
        <v>2520053.9208</v>
      </c>
      <c r="X231" s="99" t="s">
        <v>452</v>
      </c>
      <c r="AH231" s="99"/>
      <c r="AI231" s="113"/>
      <c r="AJ231" s="113"/>
      <c r="AK231" s="99"/>
      <c r="AL231" s="20">
        <f t="shared" si="83"/>
        <v>0</v>
      </c>
      <c r="AM231" s="117">
        <f t="shared" si="84"/>
        <v>0</v>
      </c>
      <c r="AN231" s="20"/>
      <c r="AR231" t="s">
        <v>25</v>
      </c>
      <c r="AS231" t="s">
        <v>25</v>
      </c>
    </row>
    <row r="232" spans="15:45">
      <c r="Q232" s="99" t="s">
        <v>4468</v>
      </c>
      <c r="R232" s="95">
        <v>1400000</v>
      </c>
      <c r="T232" s="213" t="s">
        <v>4890</v>
      </c>
      <c r="U232" s="213">
        <v>15943</v>
      </c>
      <c r="V232" s="113">
        <v>307.34415000000001</v>
      </c>
      <c r="W232" s="113">
        <f t="shared" si="65"/>
        <v>4899987.78345</v>
      </c>
      <c r="X232" s="99" t="s">
        <v>452</v>
      </c>
      <c r="AH232" s="99"/>
      <c r="AI232" s="113"/>
      <c r="AJ232" s="113"/>
      <c r="AK232" s="99"/>
      <c r="AL232" s="20">
        <f t="shared" si="83"/>
        <v>0</v>
      </c>
      <c r="AM232" s="117">
        <f t="shared" si="84"/>
        <v>0</v>
      </c>
      <c r="AN232" s="20"/>
    </row>
    <row r="233" spans="15:45">
      <c r="Q233" s="99" t="s">
        <v>4222</v>
      </c>
      <c r="R233" s="95">
        <v>247393</v>
      </c>
      <c r="S233" t="s">
        <v>25</v>
      </c>
      <c r="T233" s="213" t="s">
        <v>4910</v>
      </c>
      <c r="U233" s="213">
        <v>3741</v>
      </c>
      <c r="V233" s="113">
        <v>307.34415000000001</v>
      </c>
      <c r="W233" s="113">
        <f t="shared" si="65"/>
        <v>1149774.4651500001</v>
      </c>
      <c r="X233" s="99" t="s">
        <v>452</v>
      </c>
      <c r="Y233" t="s">
        <v>25</v>
      </c>
      <c r="AH233" s="99"/>
      <c r="AI233" s="113"/>
      <c r="AJ233" s="113"/>
      <c r="AK233" s="99"/>
      <c r="AL233" s="20">
        <f t="shared" si="72"/>
        <v>0</v>
      </c>
      <c r="AM233" s="117">
        <f t="shared" si="73"/>
        <v>0</v>
      </c>
      <c r="AN233" s="20"/>
    </row>
    <row r="234" spans="15:45">
      <c r="Q234" s="99" t="s">
        <v>4221</v>
      </c>
      <c r="R234" s="95">
        <v>6780000</v>
      </c>
      <c r="T234" s="213" t="s">
        <v>4916</v>
      </c>
      <c r="U234" s="213">
        <v>-6207</v>
      </c>
      <c r="V234" s="113">
        <v>322.214</v>
      </c>
      <c r="W234" s="113">
        <f t="shared" si="65"/>
        <v>-1999982.298</v>
      </c>
      <c r="X234" s="99" t="s">
        <v>749</v>
      </c>
      <c r="AH234" s="99"/>
      <c r="AI234" s="99"/>
      <c r="AJ234" s="95">
        <f>SUM(AJ20:AJ233)</f>
        <v>582486801</v>
      </c>
      <c r="AK234" s="99"/>
      <c r="AL234" s="99"/>
      <c r="AM234" s="95">
        <f>SUM(AM20:AM233)</f>
        <v>232740401158</v>
      </c>
      <c r="AN234" s="95">
        <f>AM234*AN237/31</f>
        <v>125131750.51936729</v>
      </c>
    </row>
    <row r="235" spans="15:45">
      <c r="Q235" s="99" t="s">
        <v>4575</v>
      </c>
      <c r="R235" s="95">
        <v>-4000000</v>
      </c>
      <c r="T235" s="213" t="s">
        <v>4916</v>
      </c>
      <c r="U235" s="213">
        <v>6207</v>
      </c>
      <c r="V235" s="113">
        <v>322.214</v>
      </c>
      <c r="W235" s="113">
        <f t="shared" si="65"/>
        <v>1999982.298</v>
      </c>
      <c r="X235" s="99" t="s">
        <v>4435</v>
      </c>
      <c r="Z235" t="s">
        <v>25</v>
      </c>
      <c r="AA235" t="s">
        <v>25</v>
      </c>
      <c r="AH235" s="99"/>
      <c r="AI235" s="99"/>
      <c r="AJ235" s="99" t="s">
        <v>4055</v>
      </c>
      <c r="AK235" s="99"/>
      <c r="AL235" s="99"/>
      <c r="AM235" s="99" t="s">
        <v>284</v>
      </c>
      <c r="AN235" s="99" t="s">
        <v>940</v>
      </c>
    </row>
    <row r="236" spans="15:45">
      <c r="Q236" s="99" t="s">
        <v>4606</v>
      </c>
      <c r="R236" s="95">
        <v>16727037</v>
      </c>
      <c r="T236" s="213" t="s">
        <v>4862</v>
      </c>
      <c r="U236" s="213">
        <v>776</v>
      </c>
      <c r="V236" s="113">
        <v>322.214</v>
      </c>
      <c r="W236" s="113">
        <f t="shared" si="65"/>
        <v>250038.06400000001</v>
      </c>
      <c r="X236" s="99" t="s">
        <v>452</v>
      </c>
      <c r="AH236" s="99"/>
      <c r="AI236" s="99"/>
      <c r="AJ236" s="99"/>
      <c r="AK236" s="99"/>
      <c r="AL236" s="99"/>
      <c r="AM236" s="99"/>
      <c r="AN236" s="99"/>
    </row>
    <row r="237" spans="15:45">
      <c r="Q237" s="99" t="s">
        <v>4611</v>
      </c>
      <c r="R237" s="95">
        <v>46460683</v>
      </c>
      <c r="S237" t="s">
        <v>25</v>
      </c>
      <c r="T237" s="213" t="s">
        <v>4942</v>
      </c>
      <c r="U237" s="213">
        <v>1524</v>
      </c>
      <c r="V237" s="113">
        <v>314.95999999999998</v>
      </c>
      <c r="W237" s="113">
        <f t="shared" si="65"/>
        <v>479999.04</v>
      </c>
      <c r="X237" s="99" t="s">
        <v>1083</v>
      </c>
      <c r="Y237" t="s">
        <v>25</v>
      </c>
      <c r="AH237" s="99"/>
      <c r="AI237" s="99"/>
      <c r="AJ237" s="99"/>
      <c r="AK237" s="99"/>
      <c r="AL237" s="99"/>
      <c r="AM237" s="99" t="s">
        <v>4056</v>
      </c>
      <c r="AN237" s="99">
        <v>1.6667000000000001E-2</v>
      </c>
      <c r="AS237" t="s">
        <v>25</v>
      </c>
    </row>
    <row r="238" spans="15:45">
      <c r="Q238" s="99" t="s">
        <v>4612</v>
      </c>
      <c r="R238" s="95">
        <v>19663646</v>
      </c>
      <c r="T238" s="213" t="s">
        <v>4951</v>
      </c>
      <c r="U238" s="213">
        <v>4435</v>
      </c>
      <c r="V238" s="113">
        <v>316.4375</v>
      </c>
      <c r="W238" s="113">
        <f t="shared" si="65"/>
        <v>1403400.3125</v>
      </c>
      <c r="X238" s="99" t="s">
        <v>452</v>
      </c>
      <c r="AH238" s="99"/>
      <c r="AI238" s="99"/>
      <c r="AJ238" s="99"/>
      <c r="AK238" s="99"/>
      <c r="AL238" s="99"/>
      <c r="AM238" s="99"/>
      <c r="AN238" s="99"/>
      <c r="AR238" t="s">
        <v>25</v>
      </c>
    </row>
    <row r="239" spans="15:45">
      <c r="Q239" s="99" t="s">
        <v>4635</v>
      </c>
      <c r="R239" s="95">
        <v>4374525</v>
      </c>
      <c r="T239" s="213" t="s">
        <v>4954</v>
      </c>
      <c r="U239" s="213">
        <v>624</v>
      </c>
      <c r="V239" s="113">
        <v>320.5</v>
      </c>
      <c r="W239" s="113">
        <f t="shared" si="65"/>
        <v>199992</v>
      </c>
      <c r="X239" s="99" t="s">
        <v>452</v>
      </c>
      <c r="AH239" s="99"/>
      <c r="AI239" s="99" t="s">
        <v>4057</v>
      </c>
      <c r="AJ239" s="95">
        <f>AJ234+AN234</f>
        <v>707618551.51936734</v>
      </c>
      <c r="AK239" s="99"/>
      <c r="AL239" s="99"/>
      <c r="AM239" s="99"/>
      <c r="AN239" s="99"/>
      <c r="AR239" t="s">
        <v>25</v>
      </c>
    </row>
    <row r="240" spans="15:45">
      <c r="O240" t="s">
        <v>25</v>
      </c>
      <c r="Q240" s="99" t="s">
        <v>4646</v>
      </c>
      <c r="R240" s="95">
        <v>6550580</v>
      </c>
      <c r="T240" s="213" t="s">
        <v>4959</v>
      </c>
      <c r="U240" s="213">
        <v>1086</v>
      </c>
      <c r="V240" s="113">
        <v>317.55</v>
      </c>
      <c r="W240" s="113">
        <f t="shared" si="65"/>
        <v>344859.3</v>
      </c>
      <c r="X240" s="99" t="s">
        <v>452</v>
      </c>
      <c r="AI240" t="s">
        <v>4060</v>
      </c>
      <c r="AJ240" s="114">
        <f>SUM(N38:N47)</f>
        <v>3856854026.6999998</v>
      </c>
      <c r="AM240" t="s">
        <v>25</v>
      </c>
    </row>
    <row r="241" spans="16:43">
      <c r="P241" t="s">
        <v>25</v>
      </c>
      <c r="Q241" s="99" t="s">
        <v>4648</v>
      </c>
      <c r="R241" s="95">
        <v>6650895</v>
      </c>
      <c r="T241" s="213" t="s">
        <v>4964</v>
      </c>
      <c r="U241" s="213">
        <v>2820</v>
      </c>
      <c r="V241" s="113">
        <v>319.1096</v>
      </c>
      <c r="W241" s="113">
        <f t="shared" si="65"/>
        <v>899889.07200000004</v>
      </c>
      <c r="X241" s="99" t="s">
        <v>452</v>
      </c>
      <c r="AI241" t="s">
        <v>4132</v>
      </c>
      <c r="AJ241" s="114">
        <f>AJ240-AJ234</f>
        <v>3274367225.6999998</v>
      </c>
      <c r="AM241" t="s">
        <v>25</v>
      </c>
    </row>
    <row r="242" spans="16:43">
      <c r="Q242" s="99" t="s">
        <v>4665</v>
      </c>
      <c r="R242" s="95">
        <v>2145814</v>
      </c>
      <c r="T242" s="213" t="s">
        <v>4967</v>
      </c>
      <c r="U242" s="213">
        <v>1145</v>
      </c>
      <c r="V242" s="113">
        <v>325.44</v>
      </c>
      <c r="W242" s="113">
        <f t="shared" si="65"/>
        <v>372628.8</v>
      </c>
      <c r="X242" s="99" t="s">
        <v>452</v>
      </c>
      <c r="AI242" t="s">
        <v>940</v>
      </c>
      <c r="AJ242" s="114">
        <f>AN234</f>
        <v>125131750.51936729</v>
      </c>
      <c r="AN242" t="s">
        <v>25</v>
      </c>
    </row>
    <row r="243" spans="16:43">
      <c r="Q243" s="99" t="s">
        <v>4676</v>
      </c>
      <c r="R243" s="95">
        <v>4369730</v>
      </c>
      <c r="T243" s="213" t="s">
        <v>4977</v>
      </c>
      <c r="U243" s="213">
        <v>20153</v>
      </c>
      <c r="V243" s="113">
        <v>322</v>
      </c>
      <c r="W243" s="113">
        <f t="shared" si="65"/>
        <v>6489266</v>
      </c>
      <c r="X243" s="99" t="s">
        <v>452</v>
      </c>
      <c r="AI243" t="s">
        <v>4061</v>
      </c>
      <c r="AJ243" s="114">
        <f>AJ240-AJ239</f>
        <v>3149235475.1806326</v>
      </c>
      <c r="AN243" t="s">
        <v>25</v>
      </c>
    </row>
    <row r="244" spans="16:43">
      <c r="Q244" s="99" t="s">
        <v>4678</v>
      </c>
      <c r="R244" s="95">
        <v>8739459</v>
      </c>
      <c r="S244" t="s">
        <v>25</v>
      </c>
      <c r="T244" s="213" t="s">
        <v>4988</v>
      </c>
      <c r="U244" s="213">
        <v>93720</v>
      </c>
      <c r="V244" s="113">
        <v>325.435</v>
      </c>
      <c r="W244" s="113">
        <f t="shared" si="65"/>
        <v>30499768.199999999</v>
      </c>
      <c r="X244" s="99" t="s">
        <v>1083</v>
      </c>
      <c r="AM244" t="s">
        <v>25</v>
      </c>
    </row>
    <row r="245" spans="16:43">
      <c r="Q245" s="99" t="s">
        <v>4687</v>
      </c>
      <c r="R245" s="95">
        <v>6667654</v>
      </c>
      <c r="T245" s="213" t="s">
        <v>4988</v>
      </c>
      <c r="U245" s="213">
        <v>20895</v>
      </c>
      <c r="V245" s="113">
        <v>325.435</v>
      </c>
      <c r="W245" s="113">
        <f t="shared" si="65"/>
        <v>6799964.3250000002</v>
      </c>
      <c r="X245" s="99" t="s">
        <v>749</v>
      </c>
      <c r="AJ245" t="s">
        <v>25</v>
      </c>
    </row>
    <row r="246" spans="16:43">
      <c r="Q246" s="99" t="s">
        <v>4695</v>
      </c>
      <c r="R246" s="95">
        <v>8981245</v>
      </c>
      <c r="T246" s="213" t="s">
        <v>4997</v>
      </c>
      <c r="U246" s="213">
        <v>2611</v>
      </c>
      <c r="V246" s="113">
        <v>325.435</v>
      </c>
      <c r="W246" s="113">
        <f t="shared" si="65"/>
        <v>849710.78500000003</v>
      </c>
      <c r="X246" s="99" t="s">
        <v>749</v>
      </c>
    </row>
    <row r="247" spans="16:43">
      <c r="Q247" s="99" t="s">
        <v>4699</v>
      </c>
      <c r="R247" s="95">
        <v>9181756</v>
      </c>
      <c r="T247" s="213" t="s">
        <v>5006</v>
      </c>
      <c r="U247" s="213">
        <v>6750</v>
      </c>
      <c r="V247" s="113">
        <v>339.3</v>
      </c>
      <c r="W247" s="113">
        <f t="shared" si="65"/>
        <v>2290275</v>
      </c>
      <c r="X247" s="99" t="s">
        <v>749</v>
      </c>
    </row>
    <row r="248" spans="16:43">
      <c r="P248" t="s">
        <v>25</v>
      </c>
      <c r="Q248" s="99" t="s">
        <v>4702</v>
      </c>
      <c r="R248" s="95">
        <v>11811208</v>
      </c>
      <c r="S248" t="s">
        <v>25</v>
      </c>
      <c r="T248" s="213" t="s">
        <v>5014</v>
      </c>
      <c r="U248" s="213">
        <v>1850</v>
      </c>
      <c r="V248" s="113">
        <v>334.10050000000001</v>
      </c>
      <c r="W248" s="113">
        <f t="shared" si="65"/>
        <v>618085.92500000005</v>
      </c>
      <c r="X248" s="99" t="s">
        <v>452</v>
      </c>
    </row>
    <row r="249" spans="16:43">
      <c r="Q249" s="99" t="s">
        <v>4716</v>
      </c>
      <c r="R249" s="95">
        <v>41248054</v>
      </c>
      <c r="S249" t="s">
        <v>25</v>
      </c>
      <c r="T249" s="213" t="s">
        <v>5014</v>
      </c>
      <c r="U249" s="213">
        <v>-1194</v>
      </c>
      <c r="V249" s="113">
        <v>335</v>
      </c>
      <c r="W249" s="113">
        <f t="shared" si="65"/>
        <v>-399990</v>
      </c>
      <c r="X249" s="99" t="s">
        <v>4435</v>
      </c>
      <c r="AP249" t="s">
        <v>25</v>
      </c>
    </row>
    <row r="250" spans="16:43">
      <c r="Q250" s="99" t="s">
        <v>4723</v>
      </c>
      <c r="R250" s="95">
        <v>37328780</v>
      </c>
      <c r="T250" s="213" t="s">
        <v>5014</v>
      </c>
      <c r="U250" s="213">
        <v>1194</v>
      </c>
      <c r="V250" s="113">
        <v>335</v>
      </c>
      <c r="W250" s="113">
        <f t="shared" si="65"/>
        <v>399990</v>
      </c>
      <c r="X250" s="99" t="s">
        <v>749</v>
      </c>
      <c r="Y250" t="s">
        <v>25</v>
      </c>
      <c r="AH250" s="99" t="s">
        <v>3637</v>
      </c>
      <c r="AI250" s="99" t="s">
        <v>180</v>
      </c>
      <c r="AJ250" s="99" t="s">
        <v>267</v>
      </c>
      <c r="AK250" s="99" t="s">
        <v>4054</v>
      </c>
      <c r="AL250" s="99" t="s">
        <v>4046</v>
      </c>
      <c r="AM250" s="99" t="s">
        <v>282</v>
      </c>
      <c r="AN250" s="99" t="s">
        <v>4283</v>
      </c>
    </row>
    <row r="251" spans="16:43">
      <c r="Q251" s="99" t="s">
        <v>4805</v>
      </c>
      <c r="R251" s="95">
        <v>-2194100</v>
      </c>
      <c r="T251" s="213" t="s">
        <v>5021</v>
      </c>
      <c r="U251" s="213">
        <v>433</v>
      </c>
      <c r="V251" s="113">
        <v>345.68</v>
      </c>
      <c r="W251" s="113">
        <f t="shared" si="65"/>
        <v>149679.44</v>
      </c>
      <c r="X251" s="99" t="s">
        <v>749</v>
      </c>
      <c r="Y251" t="s">
        <v>25</v>
      </c>
      <c r="AH251" s="99">
        <v>1</v>
      </c>
      <c r="AI251" s="99" t="s">
        <v>3945</v>
      </c>
      <c r="AJ251" s="117">
        <v>3555820</v>
      </c>
      <c r="AK251" s="99">
        <v>2</v>
      </c>
      <c r="AL251" s="99">
        <f>AK251+AL252</f>
        <v>655</v>
      </c>
      <c r="AM251" s="99">
        <f>AJ251*AL251</f>
        <v>2329062100</v>
      </c>
      <c r="AN251" s="99" t="s">
        <v>4303</v>
      </c>
    </row>
    <row r="252" spans="16:43">
      <c r="Q252" s="99" t="s">
        <v>4842</v>
      </c>
      <c r="R252" s="95">
        <v>20193916</v>
      </c>
      <c r="T252" s="213" t="s">
        <v>5025</v>
      </c>
      <c r="U252" s="213">
        <v>55459</v>
      </c>
      <c r="V252" s="113">
        <v>362.51978000000003</v>
      </c>
      <c r="W252" s="113">
        <f t="shared" si="65"/>
        <v>20104984.479020003</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c r="Q253" s="99" t="s">
        <v>4916</v>
      </c>
      <c r="R253" s="95">
        <v>-2000000</v>
      </c>
      <c r="T253" s="213" t="s">
        <v>5029</v>
      </c>
      <c r="U253" s="213">
        <v>-57212</v>
      </c>
      <c r="V253" s="113">
        <v>368.45400000000001</v>
      </c>
      <c r="W253" s="113">
        <f t="shared" si="65"/>
        <v>-21079990.248</v>
      </c>
      <c r="X253" s="99" t="s">
        <v>452</v>
      </c>
      <c r="AH253" s="99">
        <v>3</v>
      </c>
      <c r="AI253" s="99" t="s">
        <v>4126</v>
      </c>
      <c r="AJ253" s="117">
        <v>150000</v>
      </c>
      <c r="AK253" s="99">
        <v>3</v>
      </c>
      <c r="AL253" s="99">
        <f t="shared" si="85"/>
        <v>602</v>
      </c>
      <c r="AM253" s="99">
        <f t="shared" si="86"/>
        <v>90300000</v>
      </c>
      <c r="AN253" s="99"/>
      <c r="AQ253" t="s">
        <v>25</v>
      </c>
    </row>
    <row r="254" spans="16:43">
      <c r="Q254" s="99" t="s">
        <v>4988</v>
      </c>
      <c r="R254" s="95">
        <v>6800000</v>
      </c>
      <c r="S254" t="s">
        <v>25</v>
      </c>
      <c r="T254" s="213" t="s">
        <v>5030</v>
      </c>
      <c r="U254" s="213">
        <v>-15881</v>
      </c>
      <c r="V254" s="113">
        <v>374.61599999999999</v>
      </c>
      <c r="W254" s="113">
        <f t="shared" si="65"/>
        <v>-5949276.6959999995</v>
      </c>
      <c r="X254" s="99" t="s">
        <v>452</v>
      </c>
      <c r="AH254" s="99">
        <v>4</v>
      </c>
      <c r="AI254" s="99" t="s">
        <v>4141</v>
      </c>
      <c r="AJ254" s="117">
        <v>-95000</v>
      </c>
      <c r="AK254" s="99">
        <v>8</v>
      </c>
      <c r="AL254" s="99">
        <f t="shared" si="85"/>
        <v>599</v>
      </c>
      <c r="AM254" s="99">
        <f t="shared" si="86"/>
        <v>-56905000</v>
      </c>
      <c r="AN254" s="99"/>
    </row>
    <row r="255" spans="16:43">
      <c r="Q255" s="99" t="s">
        <v>4997</v>
      </c>
      <c r="R255" s="95">
        <v>850000</v>
      </c>
      <c r="T255" s="213" t="s">
        <v>5036</v>
      </c>
      <c r="U255" s="213">
        <v>-41289</v>
      </c>
      <c r="V255" s="113">
        <v>372.27</v>
      </c>
      <c r="W255" s="113">
        <f t="shared" si="65"/>
        <v>-15370656.029999999</v>
      </c>
      <c r="X255" s="99" t="s">
        <v>452</v>
      </c>
      <c r="AH255" s="99">
        <v>5</v>
      </c>
      <c r="AI255" s="99" t="s">
        <v>4166</v>
      </c>
      <c r="AJ255" s="117">
        <v>3150000</v>
      </c>
      <c r="AK255" s="99">
        <v>16</v>
      </c>
      <c r="AL255" s="99">
        <f t="shared" si="85"/>
        <v>591</v>
      </c>
      <c r="AM255" s="99">
        <f t="shared" si="86"/>
        <v>1861650000</v>
      </c>
      <c r="AN255" s="99"/>
    </row>
    <row r="256" spans="16:43">
      <c r="Q256" s="99" t="s">
        <v>5006</v>
      </c>
      <c r="R256" s="95">
        <v>2290500</v>
      </c>
      <c r="T256" s="213" t="s">
        <v>5042</v>
      </c>
      <c r="U256" s="213">
        <v>13563</v>
      </c>
      <c r="V256" s="113">
        <v>365.69799999999998</v>
      </c>
      <c r="W256" s="113">
        <f t="shared" si="65"/>
        <v>4959961.9739999995</v>
      </c>
      <c r="X256" s="99" t="s">
        <v>452</v>
      </c>
      <c r="AH256" s="99">
        <v>6</v>
      </c>
      <c r="AI256" s="99" t="s">
        <v>4231</v>
      </c>
      <c r="AJ256" s="117">
        <v>-65000</v>
      </c>
      <c r="AK256" s="99">
        <v>1</v>
      </c>
      <c r="AL256" s="99">
        <f t="shared" si="85"/>
        <v>575</v>
      </c>
      <c r="AM256" s="99">
        <f t="shared" si="86"/>
        <v>-37375000</v>
      </c>
      <c r="AN256" s="99"/>
    </row>
    <row r="257" spans="17:45">
      <c r="Q257" s="99" t="s">
        <v>5014</v>
      </c>
      <c r="R257" s="95">
        <v>400000</v>
      </c>
      <c r="S257" t="s">
        <v>25</v>
      </c>
      <c r="T257" s="213" t="s">
        <v>5042</v>
      </c>
      <c r="U257" s="213">
        <v>27344</v>
      </c>
      <c r="V257" s="113">
        <v>365.69799999999998</v>
      </c>
      <c r="W257" s="113">
        <f t="shared" si="65"/>
        <v>9999646.1119999997</v>
      </c>
      <c r="X257" s="99" t="s">
        <v>452</v>
      </c>
      <c r="AH257" s="99">
        <v>7</v>
      </c>
      <c r="AI257" s="99" t="s">
        <v>4305</v>
      </c>
      <c r="AJ257" s="117">
        <v>-95000</v>
      </c>
      <c r="AK257" s="99">
        <v>6</v>
      </c>
      <c r="AL257" s="99">
        <f t="shared" si="85"/>
        <v>574</v>
      </c>
      <c r="AM257" s="99">
        <f t="shared" si="86"/>
        <v>-54530000</v>
      </c>
      <c r="AN257" s="99"/>
    </row>
    <row r="258" spans="17:45" ht="30">
      <c r="Q258" s="99" t="s">
        <v>5021</v>
      </c>
      <c r="R258" s="95">
        <v>150000</v>
      </c>
      <c r="T258" s="213" t="s">
        <v>5049</v>
      </c>
      <c r="U258" s="213">
        <v>-103145</v>
      </c>
      <c r="V258" s="113">
        <v>393.334</v>
      </c>
      <c r="W258" s="113">
        <f t="shared" si="65"/>
        <v>-40570435.43</v>
      </c>
      <c r="X258" s="36" t="s">
        <v>5054</v>
      </c>
      <c r="Z258" t="s">
        <v>25</v>
      </c>
      <c r="AH258" s="99">
        <v>8</v>
      </c>
      <c r="AI258" s="99" t="s">
        <v>4306</v>
      </c>
      <c r="AJ258" s="117">
        <v>232000</v>
      </c>
      <c r="AK258" s="99">
        <v>7</v>
      </c>
      <c r="AL258" s="99">
        <f t="shared" si="85"/>
        <v>568</v>
      </c>
      <c r="AM258" s="99">
        <f t="shared" si="86"/>
        <v>131776000</v>
      </c>
      <c r="AN258" s="99"/>
    </row>
    <row r="259" spans="17:45">
      <c r="Q259" s="99" t="s">
        <v>5049</v>
      </c>
      <c r="R259" s="95">
        <v>-144950</v>
      </c>
      <c r="T259" s="213" t="s">
        <v>5049</v>
      </c>
      <c r="U259" s="213">
        <v>-369</v>
      </c>
      <c r="V259" s="113">
        <v>393.334</v>
      </c>
      <c r="W259" s="113">
        <f t="shared" si="65"/>
        <v>-145140.24600000001</v>
      </c>
      <c r="X259" s="36" t="s">
        <v>5130</v>
      </c>
      <c r="AH259" s="99">
        <v>9</v>
      </c>
      <c r="AI259" s="99" t="s">
        <v>4282</v>
      </c>
      <c r="AJ259" s="117">
        <v>13000000</v>
      </c>
      <c r="AK259" s="99">
        <v>2</v>
      </c>
      <c r="AL259" s="99">
        <f t="shared" si="85"/>
        <v>561</v>
      </c>
      <c r="AM259" s="99">
        <f t="shared" si="86"/>
        <v>7293000000</v>
      </c>
      <c r="AN259" s="99"/>
    </row>
    <row r="260" spans="17:45">
      <c r="Q260" s="99" t="s">
        <v>5077</v>
      </c>
      <c r="R260" s="95">
        <v>320000</v>
      </c>
      <c r="T260" s="213" t="s">
        <v>5049</v>
      </c>
      <c r="U260" s="213">
        <v>-889</v>
      </c>
      <c r="V260" s="113">
        <v>393.334</v>
      </c>
      <c r="W260" s="113">
        <f t="shared" si="65"/>
        <v>-349673.92599999998</v>
      </c>
      <c r="X260" s="36" t="s">
        <v>5131</v>
      </c>
      <c r="AH260" s="99">
        <v>10</v>
      </c>
      <c r="AI260" s="99" t="s">
        <v>4307</v>
      </c>
      <c r="AJ260" s="117">
        <v>10000000</v>
      </c>
      <c r="AK260" s="99">
        <v>3</v>
      </c>
      <c r="AL260" s="99">
        <f t="shared" si="85"/>
        <v>559</v>
      </c>
      <c r="AM260" s="99">
        <f t="shared" si="86"/>
        <v>5590000000</v>
      </c>
      <c r="AN260" s="99"/>
    </row>
    <row r="261" spans="17:45">
      <c r="Q261" s="99" t="s">
        <v>5081</v>
      </c>
      <c r="R261" s="95">
        <v>500000</v>
      </c>
      <c r="S261" t="s">
        <v>25</v>
      </c>
      <c r="T261" s="213" t="s">
        <v>5058</v>
      </c>
      <c r="U261" s="213">
        <v>2546</v>
      </c>
      <c r="V261" s="113">
        <v>393</v>
      </c>
      <c r="W261" s="113">
        <f t="shared" si="65"/>
        <v>1000578</v>
      </c>
      <c r="X261" s="36" t="s">
        <v>452</v>
      </c>
      <c r="AH261" s="99">
        <v>11</v>
      </c>
      <c r="AI261" s="99" t="s">
        <v>4295</v>
      </c>
      <c r="AJ261" s="117">
        <v>3400000</v>
      </c>
      <c r="AK261" s="99">
        <v>9</v>
      </c>
      <c r="AL261" s="99">
        <f t="shared" si="85"/>
        <v>556</v>
      </c>
      <c r="AM261" s="99">
        <f t="shared" si="86"/>
        <v>1890400000</v>
      </c>
      <c r="AN261" s="99"/>
    </row>
    <row r="262" spans="17:45">
      <c r="Q262" s="99" t="s">
        <v>5126</v>
      </c>
      <c r="R262" s="95">
        <v>400000</v>
      </c>
      <c r="S262" t="s">
        <v>25</v>
      </c>
      <c r="T262" s="213" t="s">
        <v>5059</v>
      </c>
      <c r="U262" s="213">
        <v>1034</v>
      </c>
      <c r="V262" s="113">
        <v>386.608</v>
      </c>
      <c r="W262" s="113">
        <f t="shared" si="65"/>
        <v>399752.67200000002</v>
      </c>
      <c r="X262" s="36" t="s">
        <v>452</v>
      </c>
      <c r="AH262" s="99">
        <v>12</v>
      </c>
      <c r="AI262" s="99" t="s">
        <v>4336</v>
      </c>
      <c r="AJ262" s="117">
        <v>-8736514</v>
      </c>
      <c r="AK262" s="99">
        <v>1</v>
      </c>
      <c r="AL262" s="99">
        <f>AK262+AL263</f>
        <v>547</v>
      </c>
      <c r="AM262" s="99">
        <f t="shared" si="86"/>
        <v>-4778873158</v>
      </c>
      <c r="AN262" s="99"/>
    </row>
    <row r="263" spans="17:45">
      <c r="Q263" s="99" t="s">
        <v>5129</v>
      </c>
      <c r="R263" s="95">
        <v>50000</v>
      </c>
      <c r="S263" t="s">
        <v>25</v>
      </c>
      <c r="T263" s="213" t="s">
        <v>5066</v>
      </c>
      <c r="U263" s="213">
        <v>300</v>
      </c>
      <c r="V263" s="113">
        <v>400</v>
      </c>
      <c r="W263" s="113">
        <f t="shared" si="65"/>
        <v>120000</v>
      </c>
      <c r="X263" s="36" t="s">
        <v>452</v>
      </c>
      <c r="AH263" s="99">
        <v>13</v>
      </c>
      <c r="AI263" s="99" t="s">
        <v>4337</v>
      </c>
      <c r="AJ263" s="117">
        <v>555000</v>
      </c>
      <c r="AK263" s="99">
        <v>5</v>
      </c>
      <c r="AL263" s="99">
        <f t="shared" ref="AL263:AL279" si="87">AK263+AL264</f>
        <v>546</v>
      </c>
      <c r="AM263" s="99">
        <f t="shared" si="86"/>
        <v>303030000</v>
      </c>
      <c r="AN263" s="99"/>
    </row>
    <row r="264" spans="17:45">
      <c r="Q264" s="99" t="s">
        <v>5139</v>
      </c>
      <c r="R264" s="95">
        <v>300000</v>
      </c>
      <c r="T264" s="213" t="s">
        <v>5077</v>
      </c>
      <c r="U264" s="213">
        <v>782</v>
      </c>
      <c r="V264" s="113">
        <v>409</v>
      </c>
      <c r="W264" s="113">
        <f t="shared" si="65"/>
        <v>319838</v>
      </c>
      <c r="X264" s="36" t="s">
        <v>749</v>
      </c>
      <c r="AH264" s="99">
        <v>14</v>
      </c>
      <c r="AI264" s="99" t="s">
        <v>4361</v>
      </c>
      <c r="AJ264" s="117">
        <v>-448308</v>
      </c>
      <c r="AK264" s="99">
        <v>6</v>
      </c>
      <c r="AL264" s="99">
        <f t="shared" si="87"/>
        <v>541</v>
      </c>
      <c r="AM264" s="99">
        <f t="shared" si="86"/>
        <v>-242534628</v>
      </c>
      <c r="AN264" s="99"/>
    </row>
    <row r="265" spans="17:45">
      <c r="Q265" s="99" t="s">
        <v>5165</v>
      </c>
      <c r="R265" s="95">
        <v>250000</v>
      </c>
      <c r="T265" s="213" t="s">
        <v>5081</v>
      </c>
      <c r="U265" s="213">
        <v>1220</v>
      </c>
      <c r="V265" s="113">
        <v>409.9</v>
      </c>
      <c r="W265" s="113">
        <f t="shared" si="65"/>
        <v>500078</v>
      </c>
      <c r="X265" s="36" t="s">
        <v>749</v>
      </c>
      <c r="AH265" s="99">
        <v>15</v>
      </c>
      <c r="AI265" s="99" t="s">
        <v>4391</v>
      </c>
      <c r="AJ265" s="117">
        <v>33225</v>
      </c>
      <c r="AK265" s="99">
        <v>0</v>
      </c>
      <c r="AL265" s="99">
        <f t="shared" si="87"/>
        <v>535</v>
      </c>
      <c r="AM265" s="99">
        <f t="shared" si="86"/>
        <v>17775375</v>
      </c>
      <c r="AN265" s="99"/>
    </row>
    <row r="266" spans="17:45">
      <c r="Q266" s="99" t="s">
        <v>5200</v>
      </c>
      <c r="R266" s="95">
        <v>200000</v>
      </c>
      <c r="T266" s="213" t="s">
        <v>5083</v>
      </c>
      <c r="U266" s="213">
        <v>1285</v>
      </c>
      <c r="V266" s="113">
        <v>388.84</v>
      </c>
      <c r="W266" s="113">
        <f t="shared" si="65"/>
        <v>499659.39999999997</v>
      </c>
      <c r="X266" s="36" t="s">
        <v>452</v>
      </c>
      <c r="AH266" s="149">
        <v>16</v>
      </c>
      <c r="AI266" s="149" t="s">
        <v>4391</v>
      </c>
      <c r="AJ266" s="188">
        <v>4098523</v>
      </c>
      <c r="AK266" s="149">
        <v>2</v>
      </c>
      <c r="AL266" s="149">
        <f t="shared" si="87"/>
        <v>535</v>
      </c>
      <c r="AM266" s="149">
        <f t="shared" si="86"/>
        <v>2192709805</v>
      </c>
      <c r="AN266" s="149" t="s">
        <v>655</v>
      </c>
    </row>
    <row r="267" spans="17:45">
      <c r="Q267" s="99" t="s">
        <v>5235</v>
      </c>
      <c r="R267" s="95">
        <v>122000</v>
      </c>
      <c r="T267" s="213" t="s">
        <v>5071</v>
      </c>
      <c r="U267" s="213">
        <v>1924</v>
      </c>
      <c r="V267" s="113">
        <v>386.69600000000003</v>
      </c>
      <c r="W267" s="113">
        <f t="shared" si="65"/>
        <v>744003.10400000005</v>
      </c>
      <c r="X267" s="36" t="s">
        <v>452</v>
      </c>
      <c r="Y267" t="s">
        <v>25</v>
      </c>
      <c r="AH267" s="149">
        <v>17</v>
      </c>
      <c r="AI267" s="149" t="s">
        <v>4404</v>
      </c>
      <c r="AJ267" s="188">
        <v>-1000000</v>
      </c>
      <c r="AK267" s="149">
        <v>7</v>
      </c>
      <c r="AL267" s="149">
        <f t="shared" si="87"/>
        <v>533</v>
      </c>
      <c r="AM267" s="149">
        <f t="shared" si="86"/>
        <v>-533000000</v>
      </c>
      <c r="AN267" s="149" t="s">
        <v>655</v>
      </c>
      <c r="AS267" t="s">
        <v>25</v>
      </c>
    </row>
    <row r="268" spans="17:45">
      <c r="Q268" s="99" t="s">
        <v>5243</v>
      </c>
      <c r="R268" s="95">
        <v>200000</v>
      </c>
      <c r="S268" t="s">
        <v>25</v>
      </c>
      <c r="T268" s="213" t="s">
        <v>5099</v>
      </c>
      <c r="U268" s="213">
        <v>165</v>
      </c>
      <c r="V268" s="113">
        <v>393.5</v>
      </c>
      <c r="W268" s="113">
        <f t="shared" si="65"/>
        <v>64927.5</v>
      </c>
      <c r="X268" s="36" t="s">
        <v>452</v>
      </c>
      <c r="AA268" t="s">
        <v>25</v>
      </c>
      <c r="AH268" s="149">
        <v>18</v>
      </c>
      <c r="AI268" s="149" t="s">
        <v>4424</v>
      </c>
      <c r="AJ268" s="188">
        <v>750000</v>
      </c>
      <c r="AK268" s="149">
        <v>1</v>
      </c>
      <c r="AL268" s="149">
        <f t="shared" si="87"/>
        <v>526</v>
      </c>
      <c r="AM268" s="149">
        <f t="shared" si="86"/>
        <v>394500000</v>
      </c>
      <c r="AN268" s="149" t="s">
        <v>655</v>
      </c>
    </row>
    <row r="269" spans="17:45" ht="30">
      <c r="Q269" s="99" t="s">
        <v>5255</v>
      </c>
      <c r="R269" s="95">
        <v>60000</v>
      </c>
      <c r="T269" s="213" t="s">
        <v>5105</v>
      </c>
      <c r="U269" s="213">
        <v>-34859</v>
      </c>
      <c r="V269" s="113">
        <v>403.1585</v>
      </c>
      <c r="W269" s="113">
        <f t="shared" si="65"/>
        <v>-14053702.1515</v>
      </c>
      <c r="X269" s="36" t="s">
        <v>5108</v>
      </c>
      <c r="AH269" s="195">
        <v>19</v>
      </c>
      <c r="AI269" s="195" t="s">
        <v>4426</v>
      </c>
      <c r="AJ269" s="196">
        <v>-604152</v>
      </c>
      <c r="AK269" s="195">
        <v>0</v>
      </c>
      <c r="AL269" s="195">
        <f t="shared" si="87"/>
        <v>525</v>
      </c>
      <c r="AM269" s="195">
        <f t="shared" si="86"/>
        <v>-317179800</v>
      </c>
      <c r="AN269" s="195" t="s">
        <v>655</v>
      </c>
    </row>
    <row r="270" spans="17:45">
      <c r="Q270" s="99" t="s">
        <v>5317</v>
      </c>
      <c r="R270" s="95">
        <v>-200000</v>
      </c>
      <c r="S270" t="s">
        <v>25</v>
      </c>
      <c r="T270" s="213" t="s">
        <v>5072</v>
      </c>
      <c r="U270" s="213">
        <v>8476</v>
      </c>
      <c r="V270" s="113">
        <v>419.49900000000002</v>
      </c>
      <c r="W270" s="113">
        <f t="shared" si="65"/>
        <v>3555673.5240000002</v>
      </c>
      <c r="X270" s="36" t="s">
        <v>5114</v>
      </c>
      <c r="AH270" s="99">
        <v>20</v>
      </c>
      <c r="AI270" s="99" t="s">
        <v>4427</v>
      </c>
      <c r="AJ270" s="117">
        <v>-587083</v>
      </c>
      <c r="AK270" s="99">
        <v>4</v>
      </c>
      <c r="AL270" s="99">
        <f t="shared" si="87"/>
        <v>525</v>
      </c>
      <c r="AM270" s="99">
        <f t="shared" si="86"/>
        <v>-308218575</v>
      </c>
      <c r="AN270" s="99"/>
    </row>
    <row r="271" spans="17:45">
      <c r="Q271" s="99" t="s">
        <v>5396</v>
      </c>
      <c r="R271" s="95">
        <v>-9000000</v>
      </c>
      <c r="T271" s="213" t="s">
        <v>5126</v>
      </c>
      <c r="U271" s="213">
        <v>903</v>
      </c>
      <c r="V271" s="113">
        <v>442.77379999999999</v>
      </c>
      <c r="W271" s="113">
        <f t="shared" si="65"/>
        <v>399824.7414</v>
      </c>
      <c r="X271" s="36" t="s">
        <v>749</v>
      </c>
      <c r="AH271" s="195">
        <v>21</v>
      </c>
      <c r="AI271" s="195" t="s">
        <v>4428</v>
      </c>
      <c r="AJ271" s="196">
        <v>-754351</v>
      </c>
      <c r="AK271" s="195">
        <v>0</v>
      </c>
      <c r="AL271" s="149">
        <f t="shared" si="87"/>
        <v>521</v>
      </c>
      <c r="AM271" s="195">
        <f t="shared" si="86"/>
        <v>-393016871</v>
      </c>
      <c r="AN271" s="195" t="s">
        <v>655</v>
      </c>
      <c r="AR271" t="s">
        <v>25</v>
      </c>
    </row>
    <row r="272" spans="17:45">
      <c r="Q272" s="99" t="s">
        <v>5460</v>
      </c>
      <c r="R272" s="95">
        <v>-26000000</v>
      </c>
      <c r="T272" s="213" t="s">
        <v>5129</v>
      </c>
      <c r="U272" s="213">
        <v>113</v>
      </c>
      <c r="V272" s="113">
        <v>442.48200000000003</v>
      </c>
      <c r="W272" s="113">
        <f t="shared" ref="W272:W338" si="88">U272*V272</f>
        <v>50000.466</v>
      </c>
      <c r="X272" s="36" t="s">
        <v>749</v>
      </c>
      <c r="AH272" s="99">
        <v>22</v>
      </c>
      <c r="AI272" s="99" t="s">
        <v>4428</v>
      </c>
      <c r="AJ272" s="117">
        <v>-189619</v>
      </c>
      <c r="AK272" s="99">
        <v>15</v>
      </c>
      <c r="AL272" s="99">
        <f t="shared" si="87"/>
        <v>521</v>
      </c>
      <c r="AM272" s="99">
        <f t="shared" si="86"/>
        <v>-98791499</v>
      </c>
      <c r="AN272" s="99"/>
    </row>
    <row r="273" spans="15:40">
      <c r="Q273" s="99" t="s">
        <v>5466</v>
      </c>
      <c r="R273" s="95">
        <v>-95900000</v>
      </c>
      <c r="T273" s="213" t="s">
        <v>5139</v>
      </c>
      <c r="U273" s="213">
        <v>671</v>
      </c>
      <c r="V273" s="113">
        <v>447</v>
      </c>
      <c r="W273" s="113">
        <f t="shared" si="88"/>
        <v>299937</v>
      </c>
      <c r="X273" s="36" t="s">
        <v>749</v>
      </c>
      <c r="Y273" t="s">
        <v>25</v>
      </c>
      <c r="AH273" s="195">
        <v>23</v>
      </c>
      <c r="AI273" s="195" t="s">
        <v>4499</v>
      </c>
      <c r="AJ273" s="188">
        <v>7100</v>
      </c>
      <c r="AK273" s="195">
        <v>0</v>
      </c>
      <c r="AL273" s="149">
        <f t="shared" si="87"/>
        <v>506</v>
      </c>
      <c r="AM273" s="195">
        <f t="shared" si="86"/>
        <v>3592600</v>
      </c>
      <c r="AN273" s="195" t="s">
        <v>655</v>
      </c>
    </row>
    <row r="274" spans="15:40">
      <c r="Q274" s="99" t="s">
        <v>5467</v>
      </c>
      <c r="R274" s="95">
        <v>-28950000</v>
      </c>
      <c r="S274" t="s">
        <v>25</v>
      </c>
      <c r="T274" s="213" t="s">
        <v>5141</v>
      </c>
      <c r="U274" s="213">
        <v>7</v>
      </c>
      <c r="V274" s="113">
        <v>465.31200000000001</v>
      </c>
      <c r="W274" s="113">
        <f t="shared" si="88"/>
        <v>3257.1840000000002</v>
      </c>
      <c r="X274" s="36" t="s">
        <v>452</v>
      </c>
      <c r="Y274" t="s">
        <v>25</v>
      </c>
      <c r="AH274" s="20">
        <v>24</v>
      </c>
      <c r="AI274" s="20" t="s">
        <v>4499</v>
      </c>
      <c r="AJ274" s="117">
        <v>-147902</v>
      </c>
      <c r="AK274" s="20">
        <v>3</v>
      </c>
      <c r="AL274" s="99">
        <f t="shared" si="87"/>
        <v>506</v>
      </c>
      <c r="AM274" s="20">
        <f t="shared" si="86"/>
        <v>-74838412</v>
      </c>
      <c r="AN274" s="20"/>
    </row>
    <row r="275" spans="15:40">
      <c r="Q275" s="99"/>
      <c r="R275" s="95"/>
      <c r="S275" t="s">
        <v>25</v>
      </c>
      <c r="T275" s="213" t="s">
        <v>5147</v>
      </c>
      <c r="U275" s="213">
        <v>12950</v>
      </c>
      <c r="V275" s="113">
        <v>463.31599999999997</v>
      </c>
      <c r="W275" s="113">
        <f t="shared" si="88"/>
        <v>5999942.1999999993</v>
      </c>
      <c r="X275" s="36" t="s">
        <v>452</v>
      </c>
      <c r="AH275" s="149">
        <v>25</v>
      </c>
      <c r="AI275" s="149" t="s">
        <v>4507</v>
      </c>
      <c r="AJ275" s="188">
        <v>-37200</v>
      </c>
      <c r="AK275" s="149">
        <v>4</v>
      </c>
      <c r="AL275" s="149">
        <f t="shared" si="87"/>
        <v>503</v>
      </c>
      <c r="AM275" s="195">
        <f t="shared" si="86"/>
        <v>-18711600</v>
      </c>
      <c r="AN275" s="149" t="s">
        <v>655</v>
      </c>
    </row>
    <row r="276" spans="15:40">
      <c r="Q276" s="99"/>
      <c r="R276" s="95"/>
      <c r="T276" s="213" t="s">
        <v>5150</v>
      </c>
      <c r="U276" s="213">
        <v>37</v>
      </c>
      <c r="V276" s="113">
        <v>463.315</v>
      </c>
      <c r="W276" s="113">
        <f t="shared" si="88"/>
        <v>17142.654999999999</v>
      </c>
      <c r="X276" s="36" t="s">
        <v>452</v>
      </c>
      <c r="AH276" s="99">
        <v>26</v>
      </c>
      <c r="AI276" s="99" t="s">
        <v>4538</v>
      </c>
      <c r="AJ276" s="117">
        <v>-372326</v>
      </c>
      <c r="AK276" s="99">
        <v>21</v>
      </c>
      <c r="AL276" s="99">
        <f t="shared" si="87"/>
        <v>499</v>
      </c>
      <c r="AM276" s="20">
        <f t="shared" si="86"/>
        <v>-185790674</v>
      </c>
      <c r="AN276" s="99"/>
    </row>
    <row r="277" spans="15:40">
      <c r="Q277" s="99"/>
      <c r="R277" s="95">
        <f>SUM(R231:R276)</f>
        <v>276933825</v>
      </c>
      <c r="T277" s="213" t="s">
        <v>5151</v>
      </c>
      <c r="U277" s="213">
        <v>19</v>
      </c>
      <c r="V277" s="113">
        <v>434.3</v>
      </c>
      <c r="W277" s="113">
        <f t="shared" si="88"/>
        <v>8251.7000000000007</v>
      </c>
      <c r="X277" s="36" t="s">
        <v>452</v>
      </c>
      <c r="AH277" s="99">
        <v>27</v>
      </c>
      <c r="AI277" s="99" t="s">
        <v>4589</v>
      </c>
      <c r="AJ277" s="117">
        <v>235062</v>
      </c>
      <c r="AK277" s="99">
        <v>0</v>
      </c>
      <c r="AL277" s="99">
        <f t="shared" si="87"/>
        <v>478</v>
      </c>
      <c r="AM277" s="20">
        <f t="shared" si="86"/>
        <v>112359636</v>
      </c>
      <c r="AN277" s="99"/>
    </row>
    <row r="278" spans="15:40">
      <c r="Q278" s="99"/>
      <c r="R278" s="99" t="s">
        <v>6</v>
      </c>
      <c r="T278" s="213" t="s">
        <v>5153</v>
      </c>
      <c r="U278" s="213">
        <v>16</v>
      </c>
      <c r="V278" s="113">
        <v>439</v>
      </c>
      <c r="W278" s="113">
        <f t="shared" si="88"/>
        <v>7024</v>
      </c>
      <c r="X278" s="36" t="s">
        <v>452</v>
      </c>
      <c r="AH278" s="149">
        <v>28</v>
      </c>
      <c r="AI278" s="149" t="s">
        <v>4589</v>
      </c>
      <c r="AJ278" s="188">
        <v>235062</v>
      </c>
      <c r="AK278" s="149">
        <v>9</v>
      </c>
      <c r="AL278" s="99">
        <f t="shared" si="87"/>
        <v>478</v>
      </c>
      <c r="AM278" s="149">
        <f t="shared" si="86"/>
        <v>112359636</v>
      </c>
      <c r="AN278" s="149" t="s">
        <v>655</v>
      </c>
    </row>
    <row r="279" spans="15:40" ht="45">
      <c r="R279" t="s">
        <v>25</v>
      </c>
      <c r="T279" s="213" t="s">
        <v>5153</v>
      </c>
      <c r="U279" s="213">
        <v>9191</v>
      </c>
      <c r="V279" s="113">
        <v>440.24630000000002</v>
      </c>
      <c r="W279" s="113">
        <f t="shared" si="88"/>
        <v>4046303.7433000002</v>
      </c>
      <c r="X279" s="36" t="s">
        <v>5154</v>
      </c>
      <c r="AH279" s="149">
        <v>29</v>
      </c>
      <c r="AI279" s="149" t="s">
        <v>4612</v>
      </c>
      <c r="AJ279" s="188">
        <v>450000</v>
      </c>
      <c r="AK279" s="149">
        <v>0</v>
      </c>
      <c r="AL279" s="99">
        <f t="shared" si="87"/>
        <v>469</v>
      </c>
      <c r="AM279" s="149">
        <f t="shared" si="86"/>
        <v>211050000</v>
      </c>
      <c r="AN279" s="149" t="s">
        <v>655</v>
      </c>
    </row>
    <row r="280" spans="15:40">
      <c r="O280" t="s">
        <v>25</v>
      </c>
      <c r="S280" t="s">
        <v>25</v>
      </c>
      <c r="T280" s="213" t="s">
        <v>5156</v>
      </c>
      <c r="U280" s="213">
        <v>-8792</v>
      </c>
      <c r="V280" s="113">
        <v>441.90665999999999</v>
      </c>
      <c r="W280" s="113">
        <f t="shared" si="88"/>
        <v>-3885243.3547199997</v>
      </c>
      <c r="X280" s="36" t="s">
        <v>5157</v>
      </c>
      <c r="AH280" s="20">
        <v>30</v>
      </c>
      <c r="AI280" s="20" t="s">
        <v>4612</v>
      </c>
      <c r="AJ280" s="117">
        <v>450000</v>
      </c>
      <c r="AK280" s="20">
        <v>22</v>
      </c>
      <c r="AL280" s="99">
        <f>AK280+AL281</f>
        <v>469</v>
      </c>
      <c r="AM280" s="20">
        <f t="shared" si="86"/>
        <v>211050000</v>
      </c>
      <c r="AN280" s="20"/>
    </row>
    <row r="281" spans="15:40">
      <c r="Q281" s="99" t="s">
        <v>452</v>
      </c>
      <c r="R281" s="99"/>
      <c r="T281" s="189" t="s">
        <v>5160</v>
      </c>
      <c r="U281" s="189">
        <v>24374</v>
      </c>
      <c r="V281" s="188">
        <v>471.81700000000001</v>
      </c>
      <c r="W281" s="188">
        <f t="shared" si="88"/>
        <v>11500067.558</v>
      </c>
      <c r="X281" s="279" t="s">
        <v>5163</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4428</v>
      </c>
      <c r="R282" s="95">
        <v>63115000</v>
      </c>
      <c r="T282" s="213" t="s">
        <v>5165</v>
      </c>
      <c r="U282" s="213">
        <v>530</v>
      </c>
      <c r="V282" s="113">
        <v>472</v>
      </c>
      <c r="W282" s="113">
        <f t="shared" si="88"/>
        <v>250160</v>
      </c>
      <c r="X282" s="36" t="s">
        <v>749</v>
      </c>
      <c r="AH282" s="121">
        <v>32</v>
      </c>
      <c r="AI282" s="121" t="s">
        <v>4678</v>
      </c>
      <c r="AJ282" s="79">
        <v>288936</v>
      </c>
      <c r="AK282" s="121">
        <v>3</v>
      </c>
      <c r="AL282" s="121">
        <f t="shared" si="89"/>
        <v>447</v>
      </c>
      <c r="AM282" s="121">
        <f t="shared" si="90"/>
        <v>129154392</v>
      </c>
      <c r="AN282" s="205" t="s">
        <v>4689</v>
      </c>
    </row>
    <row r="283" spans="15:40" ht="30">
      <c r="Q283" s="99" t="s">
        <v>4481</v>
      </c>
      <c r="R283" s="95">
        <v>13300000</v>
      </c>
      <c r="T283" s="213" t="s">
        <v>5165</v>
      </c>
      <c r="U283" s="213">
        <v>12</v>
      </c>
      <c r="V283" s="113">
        <v>481.86</v>
      </c>
      <c r="W283" s="113">
        <f t="shared" si="88"/>
        <v>5782.32</v>
      </c>
      <c r="X283" s="36" t="s">
        <v>5167</v>
      </c>
      <c r="AH283" s="121">
        <v>33</v>
      </c>
      <c r="AI283" s="121" t="s">
        <v>4687</v>
      </c>
      <c r="AJ283" s="79">
        <v>17962491</v>
      </c>
      <c r="AK283" s="121">
        <v>1</v>
      </c>
      <c r="AL283" s="121">
        <f t="shared" si="89"/>
        <v>444</v>
      </c>
      <c r="AM283" s="121">
        <f t="shared" si="90"/>
        <v>7975346004</v>
      </c>
      <c r="AN283" s="121" t="s">
        <v>4694</v>
      </c>
    </row>
    <row r="284" spans="15:40">
      <c r="Q284" s="99" t="s">
        <v>4489</v>
      </c>
      <c r="R284" s="95">
        <v>2269000</v>
      </c>
      <c r="T284" s="189" t="s">
        <v>5190</v>
      </c>
      <c r="U284" s="189">
        <v>12330</v>
      </c>
      <c r="V284" s="188">
        <v>486.63443869999998</v>
      </c>
      <c r="W284" s="188">
        <f t="shared" si="88"/>
        <v>6000202.6291709999</v>
      </c>
      <c r="X284" s="279" t="s">
        <v>5163</v>
      </c>
      <c r="AH284" s="121">
        <v>34</v>
      </c>
      <c r="AI284" s="121" t="s">
        <v>3680</v>
      </c>
      <c r="AJ284" s="79">
        <v>18363511</v>
      </c>
      <c r="AK284" s="121">
        <v>1</v>
      </c>
      <c r="AL284" s="121">
        <f t="shared" si="89"/>
        <v>443</v>
      </c>
      <c r="AM284" s="121">
        <f t="shared" si="90"/>
        <v>8135035373</v>
      </c>
      <c r="AN284" s="121" t="s">
        <v>4694</v>
      </c>
    </row>
    <row r="285" spans="15:40">
      <c r="Q285" s="99" t="s">
        <v>4602</v>
      </c>
      <c r="R285" s="95">
        <v>25071612</v>
      </c>
      <c r="T285" s="213" t="s">
        <v>5192</v>
      </c>
      <c r="U285" s="213">
        <v>846</v>
      </c>
      <c r="V285" s="113">
        <v>472.7</v>
      </c>
      <c r="W285" s="113">
        <f t="shared" si="88"/>
        <v>399904.2</v>
      </c>
      <c r="X285" s="36" t="s">
        <v>452</v>
      </c>
      <c r="AH285" s="121">
        <v>35</v>
      </c>
      <c r="AI285" s="121" t="s">
        <v>4699</v>
      </c>
      <c r="AJ285" s="79">
        <v>23622417</v>
      </c>
      <c r="AK285" s="121">
        <v>5</v>
      </c>
      <c r="AL285" s="121">
        <f t="shared" si="89"/>
        <v>442</v>
      </c>
      <c r="AM285" s="121">
        <f t="shared" ref="AM285:AM288" si="91">AJ285*AL285</f>
        <v>10441108314</v>
      </c>
      <c r="AN285" s="121" t="s">
        <v>4701</v>
      </c>
    </row>
    <row r="286" spans="15:40">
      <c r="Q286" s="99" t="s">
        <v>4611</v>
      </c>
      <c r="R286" s="95">
        <v>42236984</v>
      </c>
      <c r="T286" s="189" t="s">
        <v>5192</v>
      </c>
      <c r="U286" s="189">
        <v>3173</v>
      </c>
      <c r="V286" s="188">
        <v>472.7</v>
      </c>
      <c r="W286" s="188">
        <f t="shared" si="88"/>
        <v>1499877.0999999999</v>
      </c>
      <c r="X286" s="279" t="s">
        <v>5328</v>
      </c>
      <c r="AH286" s="121">
        <v>36</v>
      </c>
      <c r="AI286" s="121" t="s">
        <v>4714</v>
      </c>
      <c r="AJ286" s="79">
        <v>82496108</v>
      </c>
      <c r="AK286" s="121">
        <v>1</v>
      </c>
      <c r="AL286" s="121">
        <f t="shared" si="89"/>
        <v>437</v>
      </c>
      <c r="AM286" s="121">
        <f t="shared" si="91"/>
        <v>36050799196</v>
      </c>
      <c r="AN286" s="121" t="s">
        <v>4717</v>
      </c>
    </row>
    <row r="287" spans="15:40">
      <c r="Q287" s="99" t="s">
        <v>4612</v>
      </c>
      <c r="R287" s="95">
        <v>19663646</v>
      </c>
      <c r="T287" s="213" t="s">
        <v>5196</v>
      </c>
      <c r="U287" s="213">
        <v>191</v>
      </c>
      <c r="V287" s="113">
        <v>484.572</v>
      </c>
      <c r="W287" s="113">
        <f t="shared" si="88"/>
        <v>92553.252000000008</v>
      </c>
      <c r="X287" s="36" t="s">
        <v>5197</v>
      </c>
      <c r="AH287" s="121">
        <v>37</v>
      </c>
      <c r="AI287" s="121" t="s">
        <v>4716</v>
      </c>
      <c r="AJ287" s="79">
        <v>74657561</v>
      </c>
      <c r="AK287" s="121">
        <v>16</v>
      </c>
      <c r="AL287" s="121">
        <f t="shared" si="89"/>
        <v>436</v>
      </c>
      <c r="AM287" s="121">
        <f t="shared" si="91"/>
        <v>32550696596</v>
      </c>
      <c r="AN287" s="121" t="s">
        <v>4722</v>
      </c>
    </row>
    <row r="288" spans="15:40">
      <c r="Q288" s="99" t="s">
        <v>4635</v>
      </c>
      <c r="R288" s="95">
        <v>4374525</v>
      </c>
      <c r="T288" s="213" t="s">
        <v>5196</v>
      </c>
      <c r="U288" s="213">
        <v>-206</v>
      </c>
      <c r="V288" s="113">
        <v>484.572</v>
      </c>
      <c r="W288" s="113">
        <f t="shared" si="88"/>
        <v>-99821.831999999995</v>
      </c>
      <c r="X288" s="36" t="s">
        <v>5199</v>
      </c>
      <c r="AH288" s="99">
        <v>38</v>
      </c>
      <c r="AI288" s="99" t="s">
        <v>4791</v>
      </c>
      <c r="AJ288" s="117">
        <v>665000</v>
      </c>
      <c r="AK288" s="99">
        <v>0</v>
      </c>
      <c r="AL288" s="99">
        <f t="shared" si="89"/>
        <v>420</v>
      </c>
      <c r="AM288" s="20">
        <f t="shared" si="91"/>
        <v>279300000</v>
      </c>
      <c r="AN288" s="99"/>
    </row>
    <row r="289" spans="16:44">
      <c r="Q289" s="99" t="s">
        <v>4646</v>
      </c>
      <c r="R289" s="95">
        <v>6550580</v>
      </c>
      <c r="T289" s="213" t="s">
        <v>5200</v>
      </c>
      <c r="U289" s="213">
        <v>20685</v>
      </c>
      <c r="V289" s="113">
        <v>483.43312200000003</v>
      </c>
      <c r="W289" s="113">
        <f t="shared" si="88"/>
        <v>9999814.1285699997</v>
      </c>
      <c r="X289" s="36" t="s">
        <v>5202</v>
      </c>
      <c r="AH289" s="149">
        <v>39</v>
      </c>
      <c r="AI289" s="149" t="s">
        <v>4791</v>
      </c>
      <c r="AJ289" s="188">
        <v>665000</v>
      </c>
      <c r="AK289" s="149">
        <v>4</v>
      </c>
      <c r="AL289" s="195">
        <f t="shared" si="89"/>
        <v>420</v>
      </c>
      <c r="AM289" s="195">
        <f t="shared" ref="AM289:AM290" si="92">AJ289*AL289</f>
        <v>279300000</v>
      </c>
      <c r="AN289" s="195"/>
    </row>
    <row r="290" spans="16:44">
      <c r="Q290" s="99" t="s">
        <v>4648</v>
      </c>
      <c r="R290" s="95">
        <v>7054895</v>
      </c>
      <c r="T290" s="213" t="s">
        <v>5200</v>
      </c>
      <c r="U290" s="213">
        <v>-413</v>
      </c>
      <c r="V290" s="113">
        <v>483.40199999999999</v>
      </c>
      <c r="W290" s="113">
        <f t="shared" si="88"/>
        <v>-199645.02599999998</v>
      </c>
      <c r="X290" s="36" t="s">
        <v>4435</v>
      </c>
      <c r="AH290" s="20">
        <v>40</v>
      </c>
      <c r="AI290" s="20" t="s">
        <v>4800</v>
      </c>
      <c r="AJ290" s="117">
        <v>2000000</v>
      </c>
      <c r="AK290" s="20">
        <v>1</v>
      </c>
      <c r="AL290" s="99">
        <f t="shared" si="89"/>
        <v>416</v>
      </c>
      <c r="AM290" s="20">
        <f t="shared" si="92"/>
        <v>832000000</v>
      </c>
      <c r="AN290" s="99"/>
    </row>
    <row r="291" spans="16:44">
      <c r="Q291" s="99" t="s">
        <v>4665</v>
      </c>
      <c r="R291" s="95">
        <v>2145814</v>
      </c>
      <c r="T291" s="213" t="s">
        <v>5200</v>
      </c>
      <c r="U291" s="213">
        <v>413</v>
      </c>
      <c r="V291" s="113">
        <v>483.40199999999999</v>
      </c>
      <c r="W291" s="113">
        <f t="shared" si="88"/>
        <v>199645.02599999998</v>
      </c>
      <c r="X291" s="36" t="s">
        <v>749</v>
      </c>
      <c r="AH291" s="20">
        <v>41</v>
      </c>
      <c r="AI291" s="20" t="s">
        <v>4805</v>
      </c>
      <c r="AJ291" s="117">
        <v>-2060725</v>
      </c>
      <c r="AK291" s="20">
        <v>0</v>
      </c>
      <c r="AL291" s="99">
        <f t="shared" si="89"/>
        <v>415</v>
      </c>
      <c r="AM291" s="20">
        <f t="shared" ref="AM291:AM296" si="93">AJ291*AL291</f>
        <v>-855200875</v>
      </c>
      <c r="AN291" s="99" t="s">
        <v>4806</v>
      </c>
    </row>
    <row r="292" spans="16:44">
      <c r="Q292" s="99" t="s">
        <v>4676</v>
      </c>
      <c r="R292" s="95">
        <v>4369730</v>
      </c>
      <c r="T292" s="213" t="s">
        <v>5205</v>
      </c>
      <c r="U292" s="213">
        <v>-828</v>
      </c>
      <c r="V292" s="113">
        <v>483.43312200000003</v>
      </c>
      <c r="W292" s="113">
        <f t="shared" si="88"/>
        <v>-400282.62501600001</v>
      </c>
      <c r="X292" s="36" t="s">
        <v>452</v>
      </c>
      <c r="AH292" s="149">
        <v>42</v>
      </c>
      <c r="AI292" s="149" t="s">
        <v>4805</v>
      </c>
      <c r="AJ292" s="188">
        <v>-433375</v>
      </c>
      <c r="AK292" s="149">
        <v>0</v>
      </c>
      <c r="AL292" s="149">
        <f t="shared" si="89"/>
        <v>415</v>
      </c>
      <c r="AM292" s="149">
        <f t="shared" si="93"/>
        <v>-179850625</v>
      </c>
      <c r="AN292" s="149" t="s">
        <v>4807</v>
      </c>
    </row>
    <row r="293" spans="16:44">
      <c r="Q293" s="99" t="s">
        <v>4678</v>
      </c>
      <c r="R293" s="95">
        <v>8739459</v>
      </c>
      <c r="T293" s="213" t="s">
        <v>5208</v>
      </c>
      <c r="U293" s="213">
        <v>12</v>
      </c>
      <c r="V293" s="113">
        <v>473.61898300000001</v>
      </c>
      <c r="W293" s="113">
        <f t="shared" si="88"/>
        <v>5683.4277959999999</v>
      </c>
      <c r="X293" s="36" t="s">
        <v>452</v>
      </c>
      <c r="AH293" s="20">
        <v>43</v>
      </c>
      <c r="AI293" s="20" t="s">
        <v>4805</v>
      </c>
      <c r="AJ293" s="117">
        <v>28000000</v>
      </c>
      <c r="AK293" s="20">
        <v>1</v>
      </c>
      <c r="AL293" s="99">
        <f t="shared" si="89"/>
        <v>415</v>
      </c>
      <c r="AM293" s="20">
        <f t="shared" si="93"/>
        <v>11620000000</v>
      </c>
      <c r="AN293" s="99" t="s">
        <v>3887</v>
      </c>
    </row>
    <row r="294" spans="16:44">
      <c r="P294" t="s">
        <v>25</v>
      </c>
      <c r="Q294" s="99" t="s">
        <v>4687</v>
      </c>
      <c r="R294" s="95">
        <v>6667654</v>
      </c>
      <c r="T294" s="213" t="s">
        <v>5211</v>
      </c>
      <c r="U294" s="213">
        <v>963</v>
      </c>
      <c r="V294" s="113">
        <v>477.92200000000003</v>
      </c>
      <c r="W294" s="113">
        <f t="shared" si="88"/>
        <v>460238.886</v>
      </c>
      <c r="X294" s="36" t="s">
        <v>452</v>
      </c>
      <c r="AH294" s="20">
        <v>44</v>
      </c>
      <c r="AI294" s="20" t="s">
        <v>4814</v>
      </c>
      <c r="AJ294" s="117">
        <v>160000</v>
      </c>
      <c r="AK294" s="20">
        <v>0</v>
      </c>
      <c r="AL294" s="99">
        <f t="shared" si="89"/>
        <v>414</v>
      </c>
      <c r="AM294" s="20">
        <f t="shared" si="93"/>
        <v>66240000</v>
      </c>
      <c r="AN294" s="99"/>
    </row>
    <row r="295" spans="16:44">
      <c r="Q295" s="99" t="s">
        <v>3680</v>
      </c>
      <c r="R295" s="95">
        <v>8981245</v>
      </c>
      <c r="T295" s="213" t="s">
        <v>5212</v>
      </c>
      <c r="U295" s="213">
        <v>2815</v>
      </c>
      <c r="V295" s="113">
        <v>461.79</v>
      </c>
      <c r="W295" s="113">
        <f t="shared" si="88"/>
        <v>1299938.8500000001</v>
      </c>
      <c r="X295" s="36" t="s">
        <v>452</v>
      </c>
      <c r="AH295" s="149">
        <v>45</v>
      </c>
      <c r="AI295" s="149" t="s">
        <v>4814</v>
      </c>
      <c r="AJ295" s="188">
        <v>70000</v>
      </c>
      <c r="AK295" s="149">
        <v>9</v>
      </c>
      <c r="AL295" s="149">
        <f t="shared" si="89"/>
        <v>414</v>
      </c>
      <c r="AM295" s="149">
        <f t="shared" si="93"/>
        <v>28980000</v>
      </c>
      <c r="AN295" s="149"/>
    </row>
    <row r="296" spans="16:44">
      <c r="Q296" s="99" t="s">
        <v>4699</v>
      </c>
      <c r="R296" s="95">
        <v>9181756</v>
      </c>
      <c r="T296" s="213" t="s">
        <v>5212</v>
      </c>
      <c r="U296" s="213">
        <v>1581</v>
      </c>
      <c r="V296" s="113">
        <v>461.79</v>
      </c>
      <c r="W296" s="113">
        <f t="shared" si="88"/>
        <v>730089.99</v>
      </c>
      <c r="X296" s="36" t="s">
        <v>452</v>
      </c>
      <c r="AH296" s="20">
        <v>46</v>
      </c>
      <c r="AI296" s="20" t="s">
        <v>4821</v>
      </c>
      <c r="AJ296" s="117">
        <v>850000</v>
      </c>
      <c r="AK296" s="20">
        <v>0</v>
      </c>
      <c r="AL296" s="99">
        <f t="shared" si="89"/>
        <v>405</v>
      </c>
      <c r="AM296" s="20">
        <f t="shared" si="93"/>
        <v>344250000</v>
      </c>
      <c r="AN296" s="99"/>
    </row>
    <row r="297" spans="16:44">
      <c r="Q297" s="99" t="s">
        <v>4702</v>
      </c>
      <c r="R297" s="95">
        <v>11811208</v>
      </c>
      <c r="T297" s="189" t="s">
        <v>5220</v>
      </c>
      <c r="U297" s="189">
        <v>1916</v>
      </c>
      <c r="V297" s="188">
        <v>521.70000000000005</v>
      </c>
      <c r="W297" s="188">
        <f t="shared" si="88"/>
        <v>999577.20000000007</v>
      </c>
      <c r="X297" s="279" t="s">
        <v>5328</v>
      </c>
      <c r="AH297" s="195">
        <v>47</v>
      </c>
      <c r="AI297" s="195" t="s">
        <v>4821</v>
      </c>
      <c r="AJ297" s="196">
        <v>20000</v>
      </c>
      <c r="AK297" s="195">
        <v>4</v>
      </c>
      <c r="AL297" s="195">
        <f t="shared" ref="AL297:AL305" si="94">AK297+AL298</f>
        <v>405</v>
      </c>
      <c r="AM297" s="195">
        <f t="shared" ref="AM297:AM305" si="95">AJ297*AL297</f>
        <v>8100000</v>
      </c>
      <c r="AN297" s="195"/>
    </row>
    <row r="298" spans="16:44">
      <c r="Q298" s="99" t="s">
        <v>4716</v>
      </c>
      <c r="R298" s="95">
        <v>41248054</v>
      </c>
      <c r="T298" s="213" t="s">
        <v>989</v>
      </c>
      <c r="U298" s="213">
        <v>41</v>
      </c>
      <c r="V298" s="113">
        <v>514.48099999999999</v>
      </c>
      <c r="W298" s="113">
        <f t="shared" si="88"/>
        <v>21093.721000000001</v>
      </c>
      <c r="X298" s="36" t="s">
        <v>5197</v>
      </c>
      <c r="AH298" s="195">
        <v>48</v>
      </c>
      <c r="AI298" s="195" t="s">
        <v>4834</v>
      </c>
      <c r="AJ298" s="196">
        <v>30000000</v>
      </c>
      <c r="AK298" s="195">
        <v>27</v>
      </c>
      <c r="AL298" s="195">
        <f t="shared" si="94"/>
        <v>401</v>
      </c>
      <c r="AM298" s="195">
        <f t="shared" si="95"/>
        <v>12030000000</v>
      </c>
      <c r="AN298" s="195" t="s">
        <v>4835</v>
      </c>
    </row>
    <row r="299" spans="16:44">
      <c r="Q299" s="99" t="s">
        <v>4723</v>
      </c>
      <c r="R299" s="95">
        <v>37328780</v>
      </c>
      <c r="T299" s="213" t="s">
        <v>4271</v>
      </c>
      <c r="U299" s="213">
        <v>71</v>
      </c>
      <c r="V299" s="113">
        <v>482.57</v>
      </c>
      <c r="W299" s="113">
        <f t="shared" si="88"/>
        <v>34262.47</v>
      </c>
      <c r="X299" s="36" t="s">
        <v>5197</v>
      </c>
      <c r="AH299" s="20">
        <v>49</v>
      </c>
      <c r="AI299" s="20" t="s">
        <v>4910</v>
      </c>
      <c r="AJ299" s="117">
        <v>1100000</v>
      </c>
      <c r="AK299" s="20">
        <v>1</v>
      </c>
      <c r="AL299" s="20">
        <f t="shared" si="94"/>
        <v>374</v>
      </c>
      <c r="AM299" s="20">
        <f t="shared" si="95"/>
        <v>411400000</v>
      </c>
      <c r="AN299" s="20"/>
    </row>
    <row r="300" spans="16:44">
      <c r="Q300" s="99" t="s">
        <v>4729</v>
      </c>
      <c r="R300" s="95">
        <v>50000000</v>
      </c>
      <c r="T300" s="213" t="s">
        <v>5235</v>
      </c>
      <c r="U300" s="213">
        <v>-250</v>
      </c>
      <c r="V300" s="113">
        <v>487.125</v>
      </c>
      <c r="W300" s="113">
        <f t="shared" si="88"/>
        <v>-121781.25</v>
      </c>
      <c r="X300" s="36" t="s">
        <v>4435</v>
      </c>
      <c r="AH300" s="20">
        <v>50</v>
      </c>
      <c r="AI300" s="20" t="s">
        <v>4912</v>
      </c>
      <c r="AJ300" s="117">
        <v>450000</v>
      </c>
      <c r="AK300" s="20">
        <v>0</v>
      </c>
      <c r="AL300" s="20">
        <f t="shared" si="94"/>
        <v>373</v>
      </c>
      <c r="AM300" s="20">
        <f t="shared" si="95"/>
        <v>167850000</v>
      </c>
      <c r="AN300" s="20"/>
      <c r="AR300" t="s">
        <v>25</v>
      </c>
    </row>
    <row r="301" spans="16:44">
      <c r="Q301" s="99" t="s">
        <v>4791</v>
      </c>
      <c r="R301" s="95">
        <v>68656</v>
      </c>
      <c r="T301" s="213" t="s">
        <v>5235</v>
      </c>
      <c r="U301" s="213">
        <v>250</v>
      </c>
      <c r="V301" s="113">
        <v>487.125</v>
      </c>
      <c r="W301" s="113">
        <f t="shared" si="88"/>
        <v>121781.25</v>
      </c>
      <c r="X301" s="36" t="s">
        <v>749</v>
      </c>
      <c r="AH301" s="149">
        <v>51</v>
      </c>
      <c r="AI301" s="149" t="s">
        <v>4912</v>
      </c>
      <c r="AJ301" s="188">
        <v>550000</v>
      </c>
      <c r="AK301" s="149">
        <v>1</v>
      </c>
      <c r="AL301" s="149">
        <f t="shared" si="94"/>
        <v>373</v>
      </c>
      <c r="AM301" s="149">
        <f t="shared" si="95"/>
        <v>205150000</v>
      </c>
      <c r="AN301" s="149"/>
    </row>
    <row r="302" spans="16:44">
      <c r="Q302" s="99" t="s">
        <v>4800</v>
      </c>
      <c r="R302" s="95">
        <v>4000236</v>
      </c>
      <c r="T302" s="213" t="s">
        <v>5243</v>
      </c>
      <c r="U302" s="213">
        <v>-1439</v>
      </c>
      <c r="V302" s="113">
        <v>486.53068999999999</v>
      </c>
      <c r="W302" s="113">
        <f t="shared" si="88"/>
        <v>-700117.66290999996</v>
      </c>
      <c r="X302" s="36" t="s">
        <v>4435</v>
      </c>
      <c r="Y302" t="s">
        <v>25</v>
      </c>
      <c r="AH302" s="149">
        <v>52</v>
      </c>
      <c r="AI302" s="149" t="s">
        <v>4914</v>
      </c>
      <c r="AJ302" s="188">
        <v>1000000</v>
      </c>
      <c r="AK302" s="149">
        <v>8</v>
      </c>
      <c r="AL302" s="149">
        <f t="shared" si="94"/>
        <v>372</v>
      </c>
      <c r="AM302" s="149">
        <f t="shared" si="95"/>
        <v>372000000</v>
      </c>
      <c r="AN302" s="149"/>
    </row>
    <row r="303" spans="16:44">
      <c r="Q303" s="99" t="s">
        <v>4800</v>
      </c>
      <c r="R303" s="95">
        <v>2250000</v>
      </c>
      <c r="T303" s="213" t="s">
        <v>5243</v>
      </c>
      <c r="U303" s="213">
        <v>411</v>
      </c>
      <c r="V303" s="113">
        <v>486.53068999999999</v>
      </c>
      <c r="W303" s="113">
        <f t="shared" si="88"/>
        <v>199964.11358999999</v>
      </c>
      <c r="X303" s="36" t="s">
        <v>749</v>
      </c>
      <c r="Y303" t="s">
        <v>25</v>
      </c>
      <c r="AH303" s="20">
        <v>53</v>
      </c>
      <c r="AI303" s="20" t="s">
        <v>4924</v>
      </c>
      <c r="AJ303" s="117">
        <v>-2668880</v>
      </c>
      <c r="AK303" s="20">
        <v>0</v>
      </c>
      <c r="AL303" s="20">
        <f t="shared" si="94"/>
        <v>364</v>
      </c>
      <c r="AM303" s="20">
        <f t="shared" si="95"/>
        <v>-971472320</v>
      </c>
      <c r="AN303" s="20" t="s">
        <v>4926</v>
      </c>
    </row>
    <row r="304" spans="16:44">
      <c r="P304" t="s">
        <v>25</v>
      </c>
      <c r="Q304" s="99" t="s">
        <v>4805</v>
      </c>
      <c r="R304" s="95">
        <v>-2512200</v>
      </c>
      <c r="T304" s="213" t="s">
        <v>5210</v>
      </c>
      <c r="U304" s="213">
        <v>-4290</v>
      </c>
      <c r="V304" s="113">
        <v>497.57670000000002</v>
      </c>
      <c r="W304" s="113">
        <f t="shared" si="88"/>
        <v>-2134604.0430000001</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4814</v>
      </c>
      <c r="R305" s="95">
        <v>300000</v>
      </c>
      <c r="T305" s="213" t="s">
        <v>5252</v>
      </c>
      <c r="U305" s="213">
        <v>-644</v>
      </c>
      <c r="V305" s="113">
        <v>494.76464499999997</v>
      </c>
      <c r="W305" s="113">
        <f t="shared" si="88"/>
        <v>-318628.43137999997</v>
      </c>
      <c r="X305" s="36" t="s">
        <v>452</v>
      </c>
      <c r="AH305" s="20">
        <v>55</v>
      </c>
      <c r="AI305" s="20" t="s">
        <v>4924</v>
      </c>
      <c r="AJ305" s="117">
        <v>50000000</v>
      </c>
      <c r="AK305" s="20">
        <v>4</v>
      </c>
      <c r="AL305" s="20">
        <f t="shared" si="94"/>
        <v>364</v>
      </c>
      <c r="AM305" s="20">
        <f t="shared" si="95"/>
        <v>18200000000</v>
      </c>
      <c r="AN305" s="20"/>
    </row>
    <row r="306" spans="16:40">
      <c r="Q306" s="99" t="s">
        <v>978</v>
      </c>
      <c r="R306" s="95">
        <v>1100000</v>
      </c>
      <c r="S306" s="114"/>
      <c r="T306" s="213" t="s">
        <v>5255</v>
      </c>
      <c r="U306" s="213">
        <v>-112</v>
      </c>
      <c r="V306" s="113">
        <v>485.78</v>
      </c>
      <c r="W306" s="113">
        <f t="shared" si="88"/>
        <v>-54407.360000000001</v>
      </c>
      <c r="X306" s="36" t="s">
        <v>452</v>
      </c>
      <c r="AH306" s="20">
        <v>56</v>
      </c>
      <c r="AI306" s="20" t="s">
        <v>4930</v>
      </c>
      <c r="AJ306" s="117">
        <v>400000</v>
      </c>
      <c r="AK306" s="20">
        <v>4</v>
      </c>
      <c r="AL306" s="20">
        <f t="shared" ref="AL306:AL315" si="96">AK306+AL307</f>
        <v>360</v>
      </c>
      <c r="AM306" s="20">
        <f t="shared" ref="AM306:AM315" si="97">AJ306*AL306</f>
        <v>144000000</v>
      </c>
      <c r="AN306" s="20"/>
    </row>
    <row r="307" spans="16:40">
      <c r="Q307" s="99" t="s">
        <v>4821</v>
      </c>
      <c r="R307" s="95">
        <v>890000</v>
      </c>
      <c r="T307" s="213" t="s">
        <v>5255</v>
      </c>
      <c r="U307" s="213">
        <v>123</v>
      </c>
      <c r="V307" s="113">
        <v>485.78</v>
      </c>
      <c r="W307" s="113">
        <f t="shared" si="88"/>
        <v>59750.939999999995</v>
      </c>
      <c r="X307" s="36" t="s">
        <v>749</v>
      </c>
      <c r="AH307" s="20">
        <v>57</v>
      </c>
      <c r="AI307" s="20" t="s">
        <v>4942</v>
      </c>
      <c r="AJ307" s="117">
        <v>2000000</v>
      </c>
      <c r="AK307" s="20">
        <v>3</v>
      </c>
      <c r="AL307" s="20">
        <f t="shared" si="96"/>
        <v>356</v>
      </c>
      <c r="AM307" s="20">
        <f t="shared" si="97"/>
        <v>712000000</v>
      </c>
      <c r="AN307" s="20"/>
    </row>
    <row r="308" spans="16:40">
      <c r="Q308" s="99" t="s">
        <v>4841</v>
      </c>
      <c r="R308" s="95">
        <v>1000000</v>
      </c>
      <c r="T308" s="213" t="s">
        <v>5255</v>
      </c>
      <c r="U308" s="213">
        <v>-123</v>
      </c>
      <c r="V308" s="113">
        <v>485.78</v>
      </c>
      <c r="W308" s="113">
        <f t="shared" si="88"/>
        <v>-59750.939999999995</v>
      </c>
      <c r="X308" s="36" t="s">
        <v>4435</v>
      </c>
      <c r="AH308" s="20">
        <v>58</v>
      </c>
      <c r="AI308" s="20" t="s">
        <v>4945</v>
      </c>
      <c r="AJ308" s="117">
        <v>100000</v>
      </c>
      <c r="AK308" s="20">
        <v>4</v>
      </c>
      <c r="AL308" s="20">
        <f t="shared" si="96"/>
        <v>353</v>
      </c>
      <c r="AM308" s="20">
        <f t="shared" si="97"/>
        <v>35300000</v>
      </c>
      <c r="AN308" s="20" t="s">
        <v>3887</v>
      </c>
    </row>
    <row r="309" spans="16:40">
      <c r="Q309" s="99" t="s">
        <v>4842</v>
      </c>
      <c r="R309" s="95">
        <v>45436311</v>
      </c>
      <c r="T309" s="213" t="s">
        <v>5301</v>
      </c>
      <c r="U309" s="213">
        <v>32367</v>
      </c>
      <c r="V309" s="113">
        <v>556.12900000000002</v>
      </c>
      <c r="W309" s="113">
        <f t="shared" si="88"/>
        <v>18000227.343000002</v>
      </c>
      <c r="X309" s="36" t="s">
        <v>452</v>
      </c>
      <c r="AH309" s="20">
        <v>59</v>
      </c>
      <c r="AI309" s="20" t="s">
        <v>4954</v>
      </c>
      <c r="AJ309" s="117">
        <v>100000</v>
      </c>
      <c r="AK309" s="20">
        <v>7</v>
      </c>
      <c r="AL309" s="20">
        <f t="shared" si="96"/>
        <v>349</v>
      </c>
      <c r="AM309" s="20">
        <f t="shared" si="97"/>
        <v>34900000</v>
      </c>
      <c r="AN309" s="20"/>
    </row>
    <row r="310" spans="16:40">
      <c r="Q310" s="99" t="s">
        <v>4842</v>
      </c>
      <c r="R310" s="95">
        <v>-3500000</v>
      </c>
      <c r="T310" s="213" t="s">
        <v>5317</v>
      </c>
      <c r="U310" s="213">
        <v>1254</v>
      </c>
      <c r="V310" s="113">
        <v>558.24400000000003</v>
      </c>
      <c r="W310" s="113">
        <f t="shared" si="88"/>
        <v>700037.97600000002</v>
      </c>
      <c r="X310" s="36" t="s">
        <v>4435</v>
      </c>
      <c r="AH310" s="20">
        <v>60</v>
      </c>
      <c r="AI310" s="20" t="s">
        <v>4967</v>
      </c>
      <c r="AJ310" s="117">
        <v>50000</v>
      </c>
      <c r="AK310" s="20">
        <v>0</v>
      </c>
      <c r="AL310" s="20">
        <f t="shared" si="96"/>
        <v>342</v>
      </c>
      <c r="AM310" s="20">
        <f t="shared" si="97"/>
        <v>17100000</v>
      </c>
      <c r="AN310" s="20"/>
    </row>
    <row r="311" spans="16:40">
      <c r="Q311" s="99" t="s">
        <v>4855</v>
      </c>
      <c r="R311" s="95">
        <v>2520000</v>
      </c>
      <c r="T311" s="168" t="s">
        <v>5317</v>
      </c>
      <c r="U311" s="213">
        <v>-358</v>
      </c>
      <c r="V311" s="113">
        <v>558.24400000000003</v>
      </c>
      <c r="W311" s="113">
        <f t="shared" si="88"/>
        <v>-199851.35200000001</v>
      </c>
      <c r="X311" s="36" t="s">
        <v>749</v>
      </c>
      <c r="AH311" s="149">
        <v>61</v>
      </c>
      <c r="AI311" s="149" t="s">
        <v>4967</v>
      </c>
      <c r="AJ311" s="188">
        <v>50000</v>
      </c>
      <c r="AK311" s="149">
        <v>3</v>
      </c>
      <c r="AL311" s="149">
        <f t="shared" si="96"/>
        <v>342</v>
      </c>
      <c r="AM311" s="149">
        <f t="shared" si="97"/>
        <v>17100000</v>
      </c>
      <c r="AN311" s="149"/>
    </row>
    <row r="312" spans="16:40">
      <c r="Q312" s="99" t="s">
        <v>4890</v>
      </c>
      <c r="R312" s="95">
        <v>4900000</v>
      </c>
      <c r="T312" s="189" t="s">
        <v>5326</v>
      </c>
      <c r="U312" s="189">
        <v>-3326</v>
      </c>
      <c r="V312" s="188">
        <v>601.39300000000003</v>
      </c>
      <c r="W312" s="188">
        <f t="shared" si="88"/>
        <v>-2000233.118</v>
      </c>
      <c r="X312" s="279" t="s">
        <v>5163</v>
      </c>
      <c r="AH312" s="20">
        <v>62</v>
      </c>
      <c r="AI312" s="20" t="s">
        <v>4971</v>
      </c>
      <c r="AJ312" s="117">
        <v>50000</v>
      </c>
      <c r="AK312" s="20">
        <v>0</v>
      </c>
      <c r="AL312" s="20">
        <f t="shared" si="96"/>
        <v>339</v>
      </c>
      <c r="AM312" s="20">
        <f t="shared" si="97"/>
        <v>16950000</v>
      </c>
      <c r="AN312" s="20"/>
    </row>
    <row r="313" spans="16:40">
      <c r="Q313" s="99" t="s">
        <v>4910</v>
      </c>
      <c r="R313" s="95">
        <v>1150000</v>
      </c>
      <c r="T313" s="189" t="s">
        <v>5329</v>
      </c>
      <c r="U313" s="189">
        <v>3326</v>
      </c>
      <c r="V313" s="188">
        <v>601.39300000000003</v>
      </c>
      <c r="W313" s="188">
        <f t="shared" si="88"/>
        <v>2000233.118</v>
      </c>
      <c r="X313" s="279" t="s">
        <v>5163</v>
      </c>
      <c r="AH313" s="195">
        <v>63</v>
      </c>
      <c r="AI313" s="195" t="s">
        <v>4971</v>
      </c>
      <c r="AJ313" s="196">
        <v>50000</v>
      </c>
      <c r="AK313" s="195">
        <v>2</v>
      </c>
      <c r="AL313" s="195">
        <f t="shared" si="96"/>
        <v>339</v>
      </c>
      <c r="AM313" s="195">
        <f t="shared" si="97"/>
        <v>16950000</v>
      </c>
      <c r="AN313" s="195"/>
    </row>
    <row r="314" spans="16:40">
      <c r="Q314" s="99" t="s">
        <v>4862</v>
      </c>
      <c r="R314" s="95">
        <v>250000</v>
      </c>
      <c r="T314" s="189" t="s">
        <v>5342</v>
      </c>
      <c r="U314" s="189">
        <v>63259</v>
      </c>
      <c r="V314" s="188">
        <v>632.31960000000004</v>
      </c>
      <c r="W314" s="188">
        <f t="shared" si="88"/>
        <v>39999905.576400004</v>
      </c>
      <c r="X314" s="279" t="s">
        <v>1083</v>
      </c>
      <c r="AH314" s="20">
        <v>64</v>
      </c>
      <c r="AI314" s="20" t="s">
        <v>4979</v>
      </c>
      <c r="AJ314" s="117">
        <v>25000</v>
      </c>
      <c r="AK314" s="20">
        <v>0</v>
      </c>
      <c r="AL314" s="20">
        <f t="shared" si="96"/>
        <v>337</v>
      </c>
      <c r="AM314" s="20">
        <f t="shared" si="97"/>
        <v>8425000</v>
      </c>
      <c r="AN314" s="20"/>
    </row>
    <row r="315" spans="16:40">
      <c r="Q315" s="99" t="s">
        <v>4951</v>
      </c>
      <c r="R315" s="95">
        <v>1403460</v>
      </c>
      <c r="T315" s="19" t="s">
        <v>5347</v>
      </c>
      <c r="U315" s="19">
        <v>-1278</v>
      </c>
      <c r="V315" s="117">
        <v>625.98</v>
      </c>
      <c r="W315" s="117">
        <f t="shared" si="88"/>
        <v>-800002.44000000006</v>
      </c>
      <c r="X315" s="280" t="s">
        <v>5348</v>
      </c>
      <c r="AH315" s="149">
        <v>65</v>
      </c>
      <c r="AI315" s="149" t="s">
        <v>4979</v>
      </c>
      <c r="AJ315" s="188">
        <v>35000</v>
      </c>
      <c r="AK315" s="149">
        <v>7</v>
      </c>
      <c r="AL315" s="149">
        <f t="shared" si="96"/>
        <v>337</v>
      </c>
      <c r="AM315" s="149">
        <f t="shared" si="97"/>
        <v>11795000</v>
      </c>
      <c r="AN315" s="149"/>
    </row>
    <row r="316" spans="16:40">
      <c r="Q316" s="99" t="s">
        <v>4954</v>
      </c>
      <c r="R316" s="95">
        <v>200000</v>
      </c>
      <c r="T316" s="19" t="s">
        <v>5353</v>
      </c>
      <c r="U316" s="19">
        <v>32049</v>
      </c>
      <c r="V316" s="117">
        <v>624.04600000000005</v>
      </c>
      <c r="W316" s="117">
        <f t="shared" si="88"/>
        <v>20000050.254000001</v>
      </c>
      <c r="X316" s="280" t="s">
        <v>5202</v>
      </c>
      <c r="AH316" s="149">
        <v>66</v>
      </c>
      <c r="AI316" s="149" t="s">
        <v>4988</v>
      </c>
      <c r="AJ316" s="188">
        <v>30000000</v>
      </c>
      <c r="AK316" s="149">
        <v>0</v>
      </c>
      <c r="AL316" s="149">
        <f t="shared" ref="AL316:AL335" si="98">AK316+AL317</f>
        <v>330</v>
      </c>
      <c r="AM316" s="149">
        <f t="shared" ref="AM316:AM335" si="99">AJ316*AL316</f>
        <v>9900000000</v>
      </c>
      <c r="AN316" s="149"/>
    </row>
    <row r="317" spans="16:40" ht="30">
      <c r="Q317" s="99" t="s">
        <v>4959</v>
      </c>
      <c r="R317" s="95">
        <v>345000</v>
      </c>
      <c r="T317" s="19" t="s">
        <v>5364</v>
      </c>
      <c r="U317" s="19">
        <v>45094</v>
      </c>
      <c r="V317" s="117">
        <v>614.13559759999998</v>
      </c>
      <c r="W317" s="117">
        <f t="shared" si="88"/>
        <v>27693830.6381744</v>
      </c>
      <c r="X317" s="280" t="s">
        <v>5366</v>
      </c>
      <c r="AH317" s="20">
        <v>67</v>
      </c>
      <c r="AI317" s="20" t="s">
        <v>4988</v>
      </c>
      <c r="AJ317" s="117">
        <v>6800000</v>
      </c>
      <c r="AK317" s="20">
        <v>1</v>
      </c>
      <c r="AL317" s="20">
        <f t="shared" si="98"/>
        <v>330</v>
      </c>
      <c r="AM317" s="20">
        <f t="shared" si="99"/>
        <v>2244000000</v>
      </c>
      <c r="AN317" s="20"/>
    </row>
    <row r="318" spans="16:40" ht="30">
      <c r="Q318" s="99" t="s">
        <v>4964</v>
      </c>
      <c r="R318" s="95">
        <v>900000</v>
      </c>
      <c r="T318" s="19" t="s">
        <v>5396</v>
      </c>
      <c r="U318" s="19">
        <v>-11804</v>
      </c>
      <c r="V318" s="117">
        <v>762.46640000000002</v>
      </c>
      <c r="W318" s="117">
        <f t="shared" si="88"/>
        <v>-9000153.3856000006</v>
      </c>
      <c r="X318" s="280" t="s">
        <v>5398</v>
      </c>
      <c r="Y318" t="s">
        <v>25</v>
      </c>
      <c r="AH318" s="20">
        <v>68</v>
      </c>
      <c r="AI318" s="20" t="s">
        <v>4991</v>
      </c>
      <c r="AJ318" s="117">
        <v>500000</v>
      </c>
      <c r="AK318" s="20">
        <v>1</v>
      </c>
      <c r="AL318" s="20">
        <f t="shared" si="98"/>
        <v>329</v>
      </c>
      <c r="AM318" s="20">
        <f t="shared" si="99"/>
        <v>164500000</v>
      </c>
      <c r="AN318" s="20"/>
    </row>
    <row r="319" spans="16:40">
      <c r="Q319" s="99" t="s">
        <v>4967</v>
      </c>
      <c r="R319" s="95">
        <v>372517</v>
      </c>
      <c r="T319" s="19" t="s">
        <v>5441</v>
      </c>
      <c r="U319" s="19">
        <v>844</v>
      </c>
      <c r="V319" s="117">
        <v>830</v>
      </c>
      <c r="W319" s="117">
        <f t="shared" si="88"/>
        <v>700520</v>
      </c>
      <c r="X319" s="280" t="s">
        <v>4435</v>
      </c>
      <c r="AH319" s="20">
        <v>69</v>
      </c>
      <c r="AI319" s="20" t="s">
        <v>4997</v>
      </c>
      <c r="AJ319" s="117">
        <v>850000</v>
      </c>
      <c r="AK319" s="20">
        <v>5</v>
      </c>
      <c r="AL319" s="20">
        <f t="shared" si="98"/>
        <v>328</v>
      </c>
      <c r="AM319" s="20">
        <f t="shared" si="99"/>
        <v>278800000</v>
      </c>
      <c r="AN319" s="20"/>
    </row>
    <row r="320" spans="16:40">
      <c r="Q320" s="99" t="s">
        <v>4977</v>
      </c>
      <c r="R320" s="95">
        <v>6489257</v>
      </c>
      <c r="T320" s="19" t="s">
        <v>5445</v>
      </c>
      <c r="U320" s="19">
        <v>8662</v>
      </c>
      <c r="V320" s="117">
        <v>832.57011999999997</v>
      </c>
      <c r="W320" s="117">
        <f t="shared" si="88"/>
        <v>7211722.3794399993</v>
      </c>
      <c r="X320" s="280" t="s">
        <v>5197</v>
      </c>
      <c r="AH320" s="20">
        <v>70</v>
      </c>
      <c r="AI320" s="20" t="s">
        <v>5006</v>
      </c>
      <c r="AJ320" s="117">
        <v>1130250</v>
      </c>
      <c r="AK320" s="20">
        <v>0</v>
      </c>
      <c r="AL320" s="20">
        <f t="shared" si="98"/>
        <v>323</v>
      </c>
      <c r="AM320" s="20">
        <f t="shared" si="99"/>
        <v>365070750</v>
      </c>
      <c r="AN320" s="20"/>
    </row>
    <row r="321" spans="17:44" ht="30">
      <c r="Q321" s="99" t="s">
        <v>5014</v>
      </c>
      <c r="R321" s="95">
        <v>618000</v>
      </c>
      <c r="T321" s="19" t="s">
        <v>5446</v>
      </c>
      <c r="U321" s="19">
        <v>10253</v>
      </c>
      <c r="V321" s="117">
        <v>827.2568</v>
      </c>
      <c r="W321" s="117">
        <f t="shared" si="88"/>
        <v>8481863.9704</v>
      </c>
      <c r="X321" s="280" t="s">
        <v>5453</v>
      </c>
      <c r="AH321" s="256">
        <v>71</v>
      </c>
      <c r="AI321" s="256" t="s">
        <v>5006</v>
      </c>
      <c r="AJ321" s="247">
        <v>30000</v>
      </c>
      <c r="AK321" s="256">
        <v>5</v>
      </c>
      <c r="AL321" s="256">
        <f t="shared" si="98"/>
        <v>323</v>
      </c>
      <c r="AM321" s="256">
        <f t="shared" si="99"/>
        <v>9690000</v>
      </c>
      <c r="AN321" s="256"/>
    </row>
    <row r="322" spans="17:44">
      <c r="Q322" s="99" t="s">
        <v>5025</v>
      </c>
      <c r="R322" s="95">
        <v>20105000</v>
      </c>
      <c r="T322" s="246" t="s">
        <v>5454</v>
      </c>
      <c r="U322" s="246">
        <v>-33077</v>
      </c>
      <c r="V322" s="247">
        <v>786.02973999999995</v>
      </c>
      <c r="W322" s="247">
        <f t="shared" si="88"/>
        <v>-25999505.70998</v>
      </c>
      <c r="X322" s="289" t="s">
        <v>5457</v>
      </c>
      <c r="AH322" s="20">
        <v>72</v>
      </c>
      <c r="AI322" s="20" t="s">
        <v>5014</v>
      </c>
      <c r="AJ322" s="117">
        <v>206000</v>
      </c>
      <c r="AK322" s="20">
        <v>0</v>
      </c>
      <c r="AL322" s="20">
        <f t="shared" si="98"/>
        <v>318</v>
      </c>
      <c r="AM322" s="20">
        <f t="shared" si="99"/>
        <v>65508000</v>
      </c>
      <c r="AN322" s="20"/>
    </row>
    <row r="323" spans="17:44">
      <c r="Q323" s="99" t="s">
        <v>5029</v>
      </c>
      <c r="R323" s="95">
        <v>-21079990</v>
      </c>
      <c r="T323" s="19" t="s">
        <v>5454</v>
      </c>
      <c r="U323" s="19">
        <v>-33077</v>
      </c>
      <c r="V323" s="117">
        <v>786.02973999999995</v>
      </c>
      <c r="W323" s="117">
        <f t="shared" si="88"/>
        <v>-25999505.70998</v>
      </c>
      <c r="X323" s="280" t="s">
        <v>5458</v>
      </c>
      <c r="AH323" s="149">
        <v>73</v>
      </c>
      <c r="AI323" s="149" t="s">
        <v>5014</v>
      </c>
      <c r="AJ323" s="188">
        <v>206000</v>
      </c>
      <c r="AK323" s="149">
        <v>2</v>
      </c>
      <c r="AL323" s="149">
        <f t="shared" si="98"/>
        <v>318</v>
      </c>
      <c r="AM323" s="149">
        <f t="shared" si="99"/>
        <v>65508000</v>
      </c>
      <c r="AN323" s="149"/>
    </row>
    <row r="324" spans="17:44">
      <c r="Q324" s="99" t="s">
        <v>5030</v>
      </c>
      <c r="R324" s="95">
        <v>-5949277</v>
      </c>
      <c r="T324" s="19" t="s">
        <v>5454</v>
      </c>
      <c r="U324" s="19">
        <v>1983</v>
      </c>
      <c r="V324" s="117">
        <v>786.02973999999995</v>
      </c>
      <c r="W324" s="117">
        <f t="shared" si="88"/>
        <v>1558696.9744199999</v>
      </c>
      <c r="X324" s="280" t="s">
        <v>5197</v>
      </c>
      <c r="Y324" t="s">
        <v>25</v>
      </c>
      <c r="AH324" s="20">
        <v>74</v>
      </c>
      <c r="AI324" s="20" t="s">
        <v>5021</v>
      </c>
      <c r="AJ324" s="117">
        <v>50000</v>
      </c>
      <c r="AK324" s="20">
        <v>0</v>
      </c>
      <c r="AL324" s="20">
        <f t="shared" si="98"/>
        <v>316</v>
      </c>
      <c r="AM324" s="20">
        <f t="shared" si="99"/>
        <v>15800000</v>
      </c>
      <c r="AN324" s="20"/>
    </row>
    <row r="325" spans="17:44">
      <c r="Q325" s="99" t="s">
        <v>5036</v>
      </c>
      <c r="R325" s="95">
        <v>-15370656</v>
      </c>
      <c r="T325" s="246" t="s">
        <v>5459</v>
      </c>
      <c r="U325" s="246">
        <v>-119753</v>
      </c>
      <c r="V325" s="247">
        <v>800.81560000000002</v>
      </c>
      <c r="W325" s="247">
        <f t="shared" si="88"/>
        <v>-95900070.546800002</v>
      </c>
      <c r="X325" s="289" t="s">
        <v>5457</v>
      </c>
      <c r="AH325" s="256">
        <v>75</v>
      </c>
      <c r="AI325" s="256" t="s">
        <v>5021</v>
      </c>
      <c r="AJ325" s="247">
        <v>50000</v>
      </c>
      <c r="AK325" s="256">
        <v>2</v>
      </c>
      <c r="AL325" s="256">
        <f t="shared" si="98"/>
        <v>316</v>
      </c>
      <c r="AM325" s="256">
        <f t="shared" si="99"/>
        <v>15800000</v>
      </c>
      <c r="AN325" s="256"/>
    </row>
    <row r="326" spans="17:44">
      <c r="Q326" s="99" t="s">
        <v>5042</v>
      </c>
      <c r="R326" s="95">
        <v>4960000</v>
      </c>
      <c r="T326" s="19" t="s">
        <v>5459</v>
      </c>
      <c r="U326" s="19">
        <v>-119753</v>
      </c>
      <c r="V326" s="117">
        <v>800.81560000000002</v>
      </c>
      <c r="W326" s="117">
        <f t="shared" si="88"/>
        <v>-95900070.546800002</v>
      </c>
      <c r="X326" s="280" t="s">
        <v>5458</v>
      </c>
      <c r="AH326" s="20">
        <v>76</v>
      </c>
      <c r="AI326" s="20" t="s">
        <v>5025</v>
      </c>
      <c r="AJ326" s="117">
        <v>20000000</v>
      </c>
      <c r="AK326" s="20">
        <v>7</v>
      </c>
      <c r="AL326" s="20">
        <f t="shared" si="98"/>
        <v>314</v>
      </c>
      <c r="AM326" s="20">
        <f t="shared" si="99"/>
        <v>6280000000</v>
      </c>
      <c r="AN326" s="20" t="s">
        <v>5026</v>
      </c>
    </row>
    <row r="327" spans="17:44">
      <c r="Q327" s="99" t="s">
        <v>5042</v>
      </c>
      <c r="R327" s="95">
        <v>10000000</v>
      </c>
      <c r="T327" s="19" t="s">
        <v>5459</v>
      </c>
      <c r="U327" s="19">
        <v>11291</v>
      </c>
      <c r="V327" s="117">
        <v>800.81560000000002</v>
      </c>
      <c r="W327" s="117">
        <f t="shared" si="88"/>
        <v>9042008.9396000002</v>
      </c>
      <c r="X327" s="280" t="s">
        <v>452</v>
      </c>
      <c r="AH327" s="20">
        <v>77</v>
      </c>
      <c r="AI327" s="20" t="s">
        <v>5036</v>
      </c>
      <c r="AJ327" s="117">
        <v>50000</v>
      </c>
      <c r="AK327" s="20">
        <v>0</v>
      </c>
      <c r="AL327" s="20">
        <f t="shared" si="98"/>
        <v>307</v>
      </c>
      <c r="AM327" s="20">
        <f t="shared" si="99"/>
        <v>15350000</v>
      </c>
      <c r="AN327" s="20"/>
    </row>
    <row r="328" spans="17:44">
      <c r="Q328" s="99" t="s">
        <v>5049</v>
      </c>
      <c r="R328" s="95">
        <v>-40570100</v>
      </c>
      <c r="T328" s="189" t="s">
        <v>5460</v>
      </c>
      <c r="U328" s="189">
        <v>-35361</v>
      </c>
      <c r="V328" s="188">
        <v>818.697</v>
      </c>
      <c r="W328" s="188">
        <f t="shared" si="88"/>
        <v>-28949944.616999999</v>
      </c>
      <c r="X328" s="279" t="s">
        <v>5457</v>
      </c>
      <c r="AH328" s="149">
        <v>78</v>
      </c>
      <c r="AI328" s="149" t="s">
        <v>5036</v>
      </c>
      <c r="AJ328" s="188">
        <v>50000</v>
      </c>
      <c r="AK328" s="149">
        <v>7</v>
      </c>
      <c r="AL328" s="149">
        <f t="shared" si="98"/>
        <v>307</v>
      </c>
      <c r="AM328" s="149">
        <f t="shared" si="99"/>
        <v>15350000</v>
      </c>
      <c r="AN328" s="149"/>
    </row>
    <row r="329" spans="17:44">
      <c r="Q329" s="99" t="s">
        <v>5058</v>
      </c>
      <c r="R329" s="95">
        <v>1000000</v>
      </c>
      <c r="T329" s="19" t="s">
        <v>5460</v>
      </c>
      <c r="U329" s="19">
        <v>-35361</v>
      </c>
      <c r="V329" s="117">
        <v>818.697</v>
      </c>
      <c r="W329" s="117">
        <f t="shared" si="88"/>
        <v>-28949944.616999999</v>
      </c>
      <c r="X329" s="280" t="s">
        <v>5458</v>
      </c>
      <c r="AH329" s="20">
        <v>79</v>
      </c>
      <c r="AI329" s="20" t="s">
        <v>5042</v>
      </c>
      <c r="AJ329" s="117">
        <v>2480000</v>
      </c>
      <c r="AK329" s="20">
        <v>0</v>
      </c>
      <c r="AL329" s="20">
        <f t="shared" si="98"/>
        <v>300</v>
      </c>
      <c r="AM329" s="20">
        <f t="shared" si="99"/>
        <v>744000000</v>
      </c>
      <c r="AN329" s="20"/>
    </row>
    <row r="330" spans="17:44">
      <c r="Q330" s="99" t="s">
        <v>5059</v>
      </c>
      <c r="R330" s="95">
        <v>400000</v>
      </c>
      <c r="T330" s="19" t="s">
        <v>5460</v>
      </c>
      <c r="U330" s="19">
        <v>116</v>
      </c>
      <c r="V330" s="117">
        <v>818.697</v>
      </c>
      <c r="W330" s="117">
        <f t="shared" si="88"/>
        <v>94968.851999999999</v>
      </c>
      <c r="X330" s="280" t="s">
        <v>5197</v>
      </c>
      <c r="AH330" s="149">
        <v>80</v>
      </c>
      <c r="AI330" s="149" t="s">
        <v>5042</v>
      </c>
      <c r="AJ330" s="188">
        <v>2480000</v>
      </c>
      <c r="AK330" s="149">
        <v>12</v>
      </c>
      <c r="AL330" s="149">
        <f t="shared" si="98"/>
        <v>300</v>
      </c>
      <c r="AM330" s="149">
        <f t="shared" si="99"/>
        <v>744000000</v>
      </c>
      <c r="AN330" s="149"/>
    </row>
    <row r="331" spans="17:44">
      <c r="Q331" s="99" t="s">
        <v>5066</v>
      </c>
      <c r="R331" s="95">
        <v>120000</v>
      </c>
      <c r="T331" s="19" t="s">
        <v>5466</v>
      </c>
      <c r="U331" s="19">
        <v>48633</v>
      </c>
      <c r="V331" s="117">
        <v>822.47199999999998</v>
      </c>
      <c r="W331" s="117">
        <f t="shared" si="88"/>
        <v>39999280.776000001</v>
      </c>
      <c r="X331" s="280" t="s">
        <v>5470</v>
      </c>
      <c r="AH331" s="20">
        <v>81</v>
      </c>
      <c r="AI331" s="20" t="s">
        <v>5049</v>
      </c>
      <c r="AJ331" s="117">
        <v>-24159500</v>
      </c>
      <c r="AK331" s="20">
        <v>4</v>
      </c>
      <c r="AL331" s="20">
        <f t="shared" si="98"/>
        <v>288</v>
      </c>
      <c r="AM331" s="20">
        <f t="shared" si="99"/>
        <v>-6957936000</v>
      </c>
      <c r="AN331" s="20" t="s">
        <v>5057</v>
      </c>
    </row>
    <row r="332" spans="17:44">
      <c r="Q332" s="99" t="s">
        <v>5083</v>
      </c>
      <c r="R332" s="95">
        <v>500000</v>
      </c>
      <c r="T332" s="19" t="s">
        <v>5466</v>
      </c>
      <c r="U332" s="19">
        <v>3412</v>
      </c>
      <c r="V332" s="117">
        <v>822.47199999999998</v>
      </c>
      <c r="W332" s="117">
        <f t="shared" si="88"/>
        <v>2806274.4640000002</v>
      </c>
      <c r="X332" s="280" t="s">
        <v>5472</v>
      </c>
      <c r="Z332" t="s">
        <v>25</v>
      </c>
      <c r="AH332" s="20">
        <v>82</v>
      </c>
      <c r="AI332" s="20" t="s">
        <v>5059</v>
      </c>
      <c r="AJ332" s="117">
        <v>400000</v>
      </c>
      <c r="AK332" s="20">
        <v>3</v>
      </c>
      <c r="AL332" s="20">
        <f t="shared" si="98"/>
        <v>284</v>
      </c>
      <c r="AM332" s="20">
        <f t="shared" si="99"/>
        <v>113600000</v>
      </c>
      <c r="AN332" s="20"/>
      <c r="AR332" t="s">
        <v>25</v>
      </c>
    </row>
    <row r="333" spans="17:44">
      <c r="Q333" s="99" t="s">
        <v>5071</v>
      </c>
      <c r="R333" s="95">
        <v>744000</v>
      </c>
      <c r="S333" s="114"/>
      <c r="T333" s="19" t="s">
        <v>5467</v>
      </c>
      <c r="U333" s="19">
        <v>1531</v>
      </c>
      <c r="V333" s="117">
        <v>869.82500000000005</v>
      </c>
      <c r="W333" s="117">
        <f t="shared" si="88"/>
        <v>1331702.075</v>
      </c>
      <c r="X333" s="280" t="s">
        <v>5473</v>
      </c>
      <c r="AH333" s="149">
        <v>83</v>
      </c>
      <c r="AI333" s="149" t="s">
        <v>5066</v>
      </c>
      <c r="AJ333" s="188">
        <v>40000</v>
      </c>
      <c r="AK333" s="149">
        <v>0</v>
      </c>
      <c r="AL333" s="149">
        <f t="shared" si="98"/>
        <v>281</v>
      </c>
      <c r="AM333" s="149">
        <f t="shared" si="99"/>
        <v>11240000</v>
      </c>
      <c r="AN333" s="149"/>
    </row>
    <row r="334" spans="17:44">
      <c r="Q334" s="99" t="s">
        <v>5099</v>
      </c>
      <c r="R334" s="95">
        <v>65000</v>
      </c>
      <c r="T334" s="172" t="s">
        <v>5476</v>
      </c>
      <c r="U334" s="172">
        <v>2394</v>
      </c>
      <c r="V334" s="170">
        <v>835.36580000000004</v>
      </c>
      <c r="W334" s="170">
        <f t="shared" si="88"/>
        <v>1999865.7252</v>
      </c>
      <c r="X334" s="290" t="s">
        <v>5478</v>
      </c>
      <c r="AH334" s="20">
        <v>84</v>
      </c>
      <c r="AI334" s="20" t="s">
        <v>5066</v>
      </c>
      <c r="AJ334" s="117">
        <v>40000</v>
      </c>
      <c r="AK334" s="20">
        <v>5</v>
      </c>
      <c r="AL334" s="20">
        <f t="shared" si="98"/>
        <v>281</v>
      </c>
      <c r="AM334" s="20">
        <f t="shared" si="99"/>
        <v>11240000</v>
      </c>
      <c r="AN334" s="20"/>
    </row>
    <row r="335" spans="17:44">
      <c r="Q335" s="99" t="s">
        <v>5105</v>
      </c>
      <c r="R335" s="95">
        <v>-14053702</v>
      </c>
      <c r="T335" s="19" t="s">
        <v>5476</v>
      </c>
      <c r="U335" s="19">
        <v>1019</v>
      </c>
      <c r="V335" s="117">
        <v>835.36580000000004</v>
      </c>
      <c r="W335" s="117">
        <f t="shared" si="88"/>
        <v>851237.75020000001</v>
      </c>
      <c r="X335" s="280" t="s">
        <v>452</v>
      </c>
      <c r="AH335" s="20">
        <v>85</v>
      </c>
      <c r="AI335" s="20" t="s">
        <v>5077</v>
      </c>
      <c r="AJ335" s="117">
        <v>200000</v>
      </c>
      <c r="AK335" s="20">
        <v>1</v>
      </c>
      <c r="AL335" s="20">
        <f t="shared" si="98"/>
        <v>276</v>
      </c>
      <c r="AM335" s="20">
        <f t="shared" si="99"/>
        <v>55200000</v>
      </c>
      <c r="AN335" s="20"/>
    </row>
    <row r="336" spans="17:44">
      <c r="Q336" s="99" t="s">
        <v>5072</v>
      </c>
      <c r="R336" s="95">
        <v>3555678</v>
      </c>
      <c r="T336" s="189" t="s">
        <v>5482</v>
      </c>
      <c r="U336" s="189">
        <v>2316</v>
      </c>
      <c r="V336" s="188">
        <v>818.697</v>
      </c>
      <c r="W336" s="188">
        <f t="shared" si="88"/>
        <v>1896102.2520000001</v>
      </c>
      <c r="X336" s="279" t="s">
        <v>5485</v>
      </c>
      <c r="AA336" t="s">
        <v>25</v>
      </c>
      <c r="AH336" s="20">
        <v>86</v>
      </c>
      <c r="AI336" s="20" t="s">
        <v>5081</v>
      </c>
      <c r="AJ336" s="117">
        <v>500000</v>
      </c>
      <c r="AK336" s="20">
        <v>2</v>
      </c>
      <c r="AL336" s="20">
        <f t="shared" ref="AL336:AL403" si="100">AK336+AL337</f>
        <v>275</v>
      </c>
      <c r="AM336" s="20">
        <f t="shared" ref="AM336:AM403" si="101">AJ336*AL336</f>
        <v>137500000</v>
      </c>
      <c r="AN336" s="20"/>
      <c r="AR336" t="s">
        <v>25</v>
      </c>
    </row>
    <row r="337" spans="17:46">
      <c r="Q337" s="99" t="s">
        <v>5141</v>
      </c>
      <c r="R337" s="95">
        <v>3495</v>
      </c>
      <c r="T337" s="19" t="s">
        <v>5491</v>
      </c>
      <c r="U337" s="19">
        <v>315</v>
      </c>
      <c r="V337" s="117">
        <v>680</v>
      </c>
      <c r="W337" s="117">
        <f t="shared" si="88"/>
        <v>214200</v>
      </c>
      <c r="X337" s="280" t="s">
        <v>5197</v>
      </c>
      <c r="AH337" s="20">
        <v>87</v>
      </c>
      <c r="AI337" s="20" t="s">
        <v>5083</v>
      </c>
      <c r="AJ337" s="117">
        <v>500000</v>
      </c>
      <c r="AK337" s="20">
        <v>3</v>
      </c>
      <c r="AL337" s="20">
        <f t="shared" si="100"/>
        <v>273</v>
      </c>
      <c r="AM337" s="20">
        <f t="shared" si="101"/>
        <v>136500000</v>
      </c>
      <c r="AN337" s="20"/>
      <c r="AS337" t="s">
        <v>25</v>
      </c>
    </row>
    <row r="338" spans="17:46">
      <c r="Q338" s="99" t="s">
        <v>5147</v>
      </c>
      <c r="R338" s="95">
        <v>6000000</v>
      </c>
      <c r="T338" s="19" t="s">
        <v>5518</v>
      </c>
      <c r="U338" s="19">
        <v>832</v>
      </c>
      <c r="V338" s="117">
        <v>784.36500000000001</v>
      </c>
      <c r="W338" s="117">
        <f t="shared" si="88"/>
        <v>652591.68000000005</v>
      </c>
      <c r="X338" s="280" t="s">
        <v>5197</v>
      </c>
      <c r="AH338" s="20">
        <v>88</v>
      </c>
      <c r="AI338" s="20" t="s">
        <v>5071</v>
      </c>
      <c r="AJ338" s="117">
        <v>250000</v>
      </c>
      <c r="AK338" s="20">
        <v>0</v>
      </c>
      <c r="AL338" s="20">
        <f t="shared" si="100"/>
        <v>270</v>
      </c>
      <c r="AM338" s="20">
        <f t="shared" si="101"/>
        <v>67500000</v>
      </c>
      <c r="AN338" s="20"/>
      <c r="AR338" t="s">
        <v>25</v>
      </c>
      <c r="AT338" s="96" t="s">
        <v>25</v>
      </c>
    </row>
    <row r="339" spans="17:46">
      <c r="Q339" s="99" t="s">
        <v>5150</v>
      </c>
      <c r="R339" s="95">
        <v>17220</v>
      </c>
      <c r="T339" s="99"/>
      <c r="U339" s="168"/>
      <c r="V339" s="113"/>
      <c r="W339" s="113"/>
      <c r="X339" s="99"/>
      <c r="Z339" t="s">
        <v>25</v>
      </c>
      <c r="AH339" s="256">
        <v>89</v>
      </c>
      <c r="AI339" s="256" t="s">
        <v>5071</v>
      </c>
      <c r="AJ339" s="247">
        <v>245000</v>
      </c>
      <c r="AK339" s="256">
        <v>16</v>
      </c>
      <c r="AL339" s="256">
        <f t="shared" si="100"/>
        <v>270</v>
      </c>
      <c r="AM339" s="256">
        <f t="shared" si="101"/>
        <v>66150000</v>
      </c>
      <c r="AN339" s="256"/>
      <c r="AS339" t="s">
        <v>25</v>
      </c>
    </row>
    <row r="340" spans="17:46">
      <c r="Q340" s="99" t="s">
        <v>5151</v>
      </c>
      <c r="R340" s="95">
        <v>8249</v>
      </c>
      <c r="T340" s="168"/>
      <c r="U340" s="168">
        <f>SUM(U170:U339)</f>
        <v>3531519</v>
      </c>
      <c r="V340" s="99"/>
      <c r="W340" s="99"/>
      <c r="X340" s="99"/>
      <c r="AH340" s="20">
        <v>90</v>
      </c>
      <c r="AI340" s="20" t="s">
        <v>5109</v>
      </c>
      <c r="AJ340" s="117">
        <v>312598</v>
      </c>
      <c r="AK340" s="20">
        <v>0</v>
      </c>
      <c r="AL340" s="20">
        <f t="shared" si="100"/>
        <v>254</v>
      </c>
      <c r="AM340" s="20">
        <f t="shared" si="101"/>
        <v>79399892</v>
      </c>
      <c r="AN340" s="20"/>
    </row>
    <row r="341" spans="17:46">
      <c r="Q341" s="99" t="s">
        <v>5153</v>
      </c>
      <c r="R341" s="95">
        <v>6937</v>
      </c>
      <c r="T341" s="99"/>
      <c r="U341" s="99" t="s">
        <v>6</v>
      </c>
      <c r="V341" s="99"/>
      <c r="W341" s="99"/>
      <c r="X341" s="99"/>
      <c r="AH341" s="20">
        <v>91</v>
      </c>
      <c r="AI341" s="20" t="s">
        <v>5109</v>
      </c>
      <c r="AJ341" s="117">
        <v>780000</v>
      </c>
      <c r="AK341" s="20">
        <v>0</v>
      </c>
      <c r="AL341" s="20">
        <f t="shared" si="100"/>
        <v>254</v>
      </c>
      <c r="AM341" s="20">
        <f t="shared" si="101"/>
        <v>198120000</v>
      </c>
      <c r="AN341" s="20"/>
    </row>
    <row r="342" spans="17:46">
      <c r="Q342" s="99" t="s">
        <v>5153</v>
      </c>
      <c r="R342" s="95">
        <v>4046552</v>
      </c>
      <c r="S342" t="s">
        <v>25</v>
      </c>
      <c r="T342" s="200" t="s">
        <v>4471</v>
      </c>
      <c r="AA342" t="s">
        <v>25</v>
      </c>
      <c r="AH342" s="195">
        <v>92</v>
      </c>
      <c r="AI342" s="195" t="s">
        <v>5109</v>
      </c>
      <c r="AJ342" s="196">
        <v>-300000</v>
      </c>
      <c r="AK342" s="195">
        <v>1</v>
      </c>
      <c r="AL342" s="195">
        <f t="shared" si="100"/>
        <v>254</v>
      </c>
      <c r="AM342" s="195">
        <f t="shared" si="101"/>
        <v>-76200000</v>
      </c>
      <c r="AN342" s="195"/>
    </row>
    <row r="343" spans="17:46">
      <c r="Q343" s="99" t="s">
        <v>5156</v>
      </c>
      <c r="R343" s="95">
        <v>-3884943</v>
      </c>
      <c r="T343" s="199">
        <f>R183/U340</f>
        <v>1673.8710852752033</v>
      </c>
      <c r="AH343" s="20">
        <v>93</v>
      </c>
      <c r="AI343" s="20" t="s">
        <v>5072</v>
      </c>
      <c r="AJ343" s="117">
        <v>300000</v>
      </c>
      <c r="AK343" s="20">
        <v>0</v>
      </c>
      <c r="AL343" s="20">
        <f t="shared" si="100"/>
        <v>253</v>
      </c>
      <c r="AM343" s="20">
        <f t="shared" si="101"/>
        <v>75900000</v>
      </c>
      <c r="AN343" s="20"/>
    </row>
    <row r="344" spans="17:46">
      <c r="Q344" s="99" t="s">
        <v>5165</v>
      </c>
      <c r="R344" s="95">
        <v>6022</v>
      </c>
      <c r="W344" s="114"/>
      <c r="AH344" s="20">
        <v>94</v>
      </c>
      <c r="AI344" s="20" t="s">
        <v>5072</v>
      </c>
      <c r="AJ344" s="117">
        <v>8660000</v>
      </c>
      <c r="AK344" s="20">
        <v>8</v>
      </c>
      <c r="AL344" s="20">
        <f t="shared" si="100"/>
        <v>253</v>
      </c>
      <c r="AM344" s="20">
        <f t="shared" si="101"/>
        <v>2190980000</v>
      </c>
      <c r="AN344" s="20"/>
    </row>
    <row r="345" spans="17:46">
      <c r="Q345" s="99" t="s">
        <v>5192</v>
      </c>
      <c r="R345" s="95">
        <v>400000</v>
      </c>
      <c r="U345" s="96" t="s">
        <v>267</v>
      </c>
      <c r="V345" t="s">
        <v>4472</v>
      </c>
      <c r="X345">
        <v>137360</v>
      </c>
      <c r="AH345" s="149">
        <v>95</v>
      </c>
      <c r="AI345" s="149" t="s">
        <v>5126</v>
      </c>
      <c r="AJ345" s="188">
        <v>200000</v>
      </c>
      <c r="AK345" s="149">
        <v>3</v>
      </c>
      <c r="AL345" s="149">
        <f t="shared" si="100"/>
        <v>245</v>
      </c>
      <c r="AM345" s="149">
        <f t="shared" si="101"/>
        <v>49000000</v>
      </c>
      <c r="AN345" s="149"/>
    </row>
    <row r="346" spans="17:46">
      <c r="Q346" s="99" t="s">
        <v>5196</v>
      </c>
      <c r="R346" s="95">
        <v>92847</v>
      </c>
      <c r="T346" s="114"/>
      <c r="U346" s="113">
        <v>652806</v>
      </c>
      <c r="V346">
        <f>U346/T343</f>
        <v>389.99777566064552</v>
      </c>
      <c r="X346">
        <v>102146</v>
      </c>
      <c r="AA346" t="s">
        <v>25</v>
      </c>
      <c r="AH346" s="149">
        <v>96</v>
      </c>
      <c r="AI346" s="149" t="s">
        <v>5129</v>
      </c>
      <c r="AJ346" s="188">
        <v>20000</v>
      </c>
      <c r="AK346" s="149">
        <v>1</v>
      </c>
      <c r="AL346" s="149">
        <f t="shared" si="100"/>
        <v>242</v>
      </c>
      <c r="AM346" s="149">
        <f t="shared" si="101"/>
        <v>4840000</v>
      </c>
      <c r="AN346" s="149"/>
    </row>
    <row r="347" spans="17:46">
      <c r="Q347" s="99" t="s">
        <v>5196</v>
      </c>
      <c r="R347" s="95">
        <v>-100000</v>
      </c>
      <c r="X347">
        <f>X345+X346</f>
        <v>239506</v>
      </c>
      <c r="Y347" t="s">
        <v>25</v>
      </c>
      <c r="AH347" s="20">
        <v>97</v>
      </c>
      <c r="AI347" s="20" t="s">
        <v>5139</v>
      </c>
      <c r="AJ347" s="117">
        <v>14340000</v>
      </c>
      <c r="AK347" s="20">
        <v>7</v>
      </c>
      <c r="AL347" s="20">
        <f t="shared" si="100"/>
        <v>241</v>
      </c>
      <c r="AM347" s="20">
        <f t="shared" si="101"/>
        <v>3455940000</v>
      </c>
      <c r="AN347" s="20"/>
    </row>
    <row r="348" spans="17:46" ht="30">
      <c r="Q348" s="99" t="s">
        <v>5200</v>
      </c>
      <c r="R348" s="95">
        <v>10000000</v>
      </c>
      <c r="V348" s="22" t="s">
        <v>5219</v>
      </c>
      <c r="W348" s="223"/>
      <c r="X348" s="96">
        <f>X347/2</f>
        <v>119753</v>
      </c>
      <c r="AH348" s="20">
        <v>98</v>
      </c>
      <c r="AI348" s="20" t="s">
        <v>5147</v>
      </c>
      <c r="AJ348" s="117">
        <v>10000000</v>
      </c>
      <c r="AK348" s="20">
        <v>6</v>
      </c>
      <c r="AL348" s="20">
        <f t="shared" si="100"/>
        <v>234</v>
      </c>
      <c r="AM348" s="20">
        <f t="shared" si="101"/>
        <v>2340000000</v>
      </c>
      <c r="AN348" s="20" t="s">
        <v>4731</v>
      </c>
    </row>
    <row r="349" spans="17:46">
      <c r="Q349" s="99" t="s">
        <v>5205</v>
      </c>
      <c r="R349" s="95">
        <v>-400000</v>
      </c>
      <c r="W349" s="96" t="s">
        <v>25</v>
      </c>
      <c r="X349">
        <f>X345-X348</f>
        <v>17607</v>
      </c>
      <c r="AH349" s="20">
        <v>99</v>
      </c>
      <c r="AI349" s="20" t="s">
        <v>5153</v>
      </c>
      <c r="AJ349" s="117">
        <v>4033949</v>
      </c>
      <c r="AK349" s="20">
        <v>2</v>
      </c>
      <c r="AL349" s="20">
        <f t="shared" si="100"/>
        <v>228</v>
      </c>
      <c r="AM349" s="20">
        <f t="shared" si="101"/>
        <v>919740372</v>
      </c>
      <c r="AN349" s="20" t="s">
        <v>5155</v>
      </c>
    </row>
    <row r="350" spans="17:46">
      <c r="Q350" s="99" t="s">
        <v>5209</v>
      </c>
      <c r="R350" s="95">
        <v>5649</v>
      </c>
      <c r="X350">
        <f>X346-X348</f>
        <v>-17607</v>
      </c>
      <c r="AH350" s="149">
        <v>100</v>
      </c>
      <c r="AI350" s="149" t="s">
        <v>5159</v>
      </c>
      <c r="AJ350" s="188">
        <v>11500000</v>
      </c>
      <c r="AK350" s="149">
        <v>2</v>
      </c>
      <c r="AL350" s="149">
        <f t="shared" si="100"/>
        <v>226</v>
      </c>
      <c r="AM350" s="149">
        <f t="shared" si="101"/>
        <v>2599000000</v>
      </c>
      <c r="AN350" s="149" t="s">
        <v>5161</v>
      </c>
    </row>
    <row r="351" spans="17:46" ht="60">
      <c r="Q351" s="99" t="s">
        <v>5211</v>
      </c>
      <c r="R351" s="95">
        <v>460000</v>
      </c>
      <c r="T351" s="22" t="s">
        <v>4455</v>
      </c>
      <c r="V351" s="223" t="s">
        <v>25</v>
      </c>
      <c r="X351">
        <f>110+81.8</f>
        <v>191.8</v>
      </c>
      <c r="AH351" s="149">
        <v>101</v>
      </c>
      <c r="AI351" s="149" t="s">
        <v>5165</v>
      </c>
      <c r="AJ351" s="188">
        <v>250000</v>
      </c>
      <c r="AK351" s="149">
        <v>3</v>
      </c>
      <c r="AL351" s="149">
        <f t="shared" si="100"/>
        <v>224</v>
      </c>
      <c r="AM351" s="149">
        <f t="shared" si="101"/>
        <v>56000000</v>
      </c>
      <c r="AN351" s="149"/>
    </row>
    <row r="352" spans="17:46" ht="45">
      <c r="Q352" s="99" t="s">
        <v>5212</v>
      </c>
      <c r="R352" s="95">
        <v>1300000</v>
      </c>
      <c r="T352" s="22" t="s">
        <v>4456</v>
      </c>
      <c r="X352">
        <f>X351/2</f>
        <v>95.9</v>
      </c>
      <c r="AH352" s="149">
        <v>102</v>
      </c>
      <c r="AI352" s="149" t="s">
        <v>5190</v>
      </c>
      <c r="AJ352" s="188">
        <v>6000000</v>
      </c>
      <c r="AK352" s="149">
        <v>1</v>
      </c>
      <c r="AL352" s="149">
        <f t="shared" si="100"/>
        <v>221</v>
      </c>
      <c r="AM352" s="149">
        <f t="shared" si="101"/>
        <v>1326000000</v>
      </c>
      <c r="AN352" s="149" t="s">
        <v>5161</v>
      </c>
    </row>
    <row r="353" spans="17:45">
      <c r="Q353" s="99" t="s">
        <v>5212</v>
      </c>
      <c r="R353" s="95">
        <v>7300000</v>
      </c>
      <c r="AH353" s="149">
        <v>103</v>
      </c>
      <c r="AI353" s="149" t="s">
        <v>5192</v>
      </c>
      <c r="AJ353" s="188">
        <v>1500000</v>
      </c>
      <c r="AK353" s="149">
        <v>6</v>
      </c>
      <c r="AL353" s="149">
        <f t="shared" si="100"/>
        <v>220</v>
      </c>
      <c r="AM353" s="149">
        <f t="shared" si="101"/>
        <v>330000000</v>
      </c>
      <c r="AN353" s="149" t="s">
        <v>5161</v>
      </c>
    </row>
    <row r="354" spans="17:45">
      <c r="Q354" s="99" t="s">
        <v>989</v>
      </c>
      <c r="R354" s="95">
        <v>21203</v>
      </c>
      <c r="AH354" s="20">
        <v>104</v>
      </c>
      <c r="AI354" s="20" t="s">
        <v>972</v>
      </c>
      <c r="AJ354" s="117">
        <v>-3960043</v>
      </c>
      <c r="AK354" s="20">
        <v>2</v>
      </c>
      <c r="AL354" s="20">
        <f t="shared" si="100"/>
        <v>214</v>
      </c>
      <c r="AM354" s="20">
        <f t="shared" si="101"/>
        <v>-847449202</v>
      </c>
      <c r="AN354" s="20"/>
    </row>
    <row r="355" spans="17:45">
      <c r="Q355" s="99" t="s">
        <v>4271</v>
      </c>
      <c r="R355" s="95">
        <v>34550</v>
      </c>
      <c r="T355" s="99" t="s">
        <v>4473</v>
      </c>
      <c r="U355" s="99" t="s">
        <v>4445</v>
      </c>
      <c r="V355" s="99" t="s">
        <v>950</v>
      </c>
      <c r="W355" s="74"/>
      <c r="AH355" s="20">
        <v>105</v>
      </c>
      <c r="AI355" s="20" t="s">
        <v>5211</v>
      </c>
      <c r="AJ355" s="117">
        <v>230000</v>
      </c>
      <c r="AK355" s="20">
        <v>0</v>
      </c>
      <c r="AL355" s="20">
        <f t="shared" si="100"/>
        <v>212</v>
      </c>
      <c r="AM355" s="20">
        <f t="shared" si="101"/>
        <v>48760000</v>
      </c>
      <c r="AN355" s="20"/>
    </row>
    <row r="356" spans="17:45">
      <c r="Q356" s="99" t="s">
        <v>5210</v>
      </c>
      <c r="R356" s="95">
        <v>-2134406</v>
      </c>
      <c r="T356" s="95">
        <f>S224+R277+R373</f>
        <v>799880817</v>
      </c>
      <c r="U356" s="95">
        <f>R183</f>
        <v>5911307541.2000008</v>
      </c>
      <c r="V356" s="95">
        <f>U356-T356</f>
        <v>5111426724.2000008</v>
      </c>
      <c r="Y356" t="s">
        <v>25</v>
      </c>
      <c r="AH356" s="149">
        <v>106</v>
      </c>
      <c r="AI356" s="149" t="s">
        <v>5211</v>
      </c>
      <c r="AJ356" s="188">
        <v>230000</v>
      </c>
      <c r="AK356" s="149">
        <v>1</v>
      </c>
      <c r="AL356" s="149">
        <f t="shared" ref="AL356:AL360" si="102">AK356+AL357</f>
        <v>212</v>
      </c>
      <c r="AM356" s="149">
        <f t="shared" ref="AM356:AM360" si="103">AJ356*AL356</f>
        <v>48760000</v>
      </c>
      <c r="AN356" s="149"/>
    </row>
    <row r="357" spans="17:45">
      <c r="Q357" s="99" t="s">
        <v>5252</v>
      </c>
      <c r="R357" s="95">
        <v>-618906</v>
      </c>
      <c r="Y357" t="s">
        <v>25</v>
      </c>
      <c r="AH357" s="149">
        <v>107</v>
      </c>
      <c r="AI357" s="149" t="s">
        <v>5212</v>
      </c>
      <c r="AJ357" s="188">
        <v>500000</v>
      </c>
      <c r="AK357" s="149">
        <v>1</v>
      </c>
      <c r="AL357" s="149">
        <f t="shared" si="102"/>
        <v>211</v>
      </c>
      <c r="AM357" s="149">
        <f t="shared" si="103"/>
        <v>105500000</v>
      </c>
      <c r="AN357" s="149"/>
    </row>
    <row r="358" spans="17:45">
      <c r="Q358" s="99" t="s">
        <v>5255</v>
      </c>
      <c r="R358" s="95">
        <v>-54615</v>
      </c>
      <c r="S358" t="s">
        <v>25</v>
      </c>
      <c r="AH358" s="20">
        <v>108</v>
      </c>
      <c r="AI358" s="20" t="s">
        <v>5215</v>
      </c>
      <c r="AJ358" s="117">
        <v>-880000</v>
      </c>
      <c r="AK358" s="20">
        <v>4</v>
      </c>
      <c r="AL358" s="20">
        <f t="shared" si="102"/>
        <v>210</v>
      </c>
      <c r="AM358" s="20">
        <f t="shared" si="103"/>
        <v>-184800000</v>
      </c>
      <c r="AN358" s="20"/>
      <c r="AS358" t="s">
        <v>25</v>
      </c>
    </row>
    <row r="359" spans="17:45">
      <c r="Q359" s="99" t="s">
        <v>5300</v>
      </c>
      <c r="R359" s="95">
        <v>18000000</v>
      </c>
      <c r="T359" s="117"/>
      <c r="V359" s="114">
        <f>(444000000+2500000)*2/3</f>
        <v>297666666.66666669</v>
      </c>
      <c r="Y359" t="s">
        <v>25</v>
      </c>
      <c r="AH359" s="195">
        <v>109</v>
      </c>
      <c r="AI359" s="195" t="s">
        <v>5220</v>
      </c>
      <c r="AJ359" s="196">
        <v>873000</v>
      </c>
      <c r="AK359" s="195">
        <v>0</v>
      </c>
      <c r="AL359" s="195">
        <f t="shared" si="102"/>
        <v>206</v>
      </c>
      <c r="AM359" s="195">
        <f t="shared" si="103"/>
        <v>179838000</v>
      </c>
      <c r="AN359" s="195" t="s">
        <v>5161</v>
      </c>
    </row>
    <row r="360" spans="17:45">
      <c r="Q360" s="99" t="s">
        <v>5353</v>
      </c>
      <c r="R360" s="95">
        <v>20000000</v>
      </c>
      <c r="Y360" t="s">
        <v>25</v>
      </c>
      <c r="AH360" s="20">
        <v>110</v>
      </c>
      <c r="AI360" s="20" t="s">
        <v>5220</v>
      </c>
      <c r="AJ360" s="117">
        <v>127000</v>
      </c>
      <c r="AK360" s="20">
        <v>0</v>
      </c>
      <c r="AL360" s="20">
        <f t="shared" si="102"/>
        <v>206</v>
      </c>
      <c r="AM360" s="20">
        <f t="shared" si="103"/>
        <v>26162000</v>
      </c>
      <c r="AN360" s="20" t="s">
        <v>5161</v>
      </c>
    </row>
    <row r="361" spans="17:45">
      <c r="Q361" s="99" t="s">
        <v>5364</v>
      </c>
      <c r="R361" s="95">
        <v>27694196</v>
      </c>
      <c r="T361" s="114">
        <f>W322+W323+W325+W326+W328+W329</f>
        <v>-301699041.74755996</v>
      </c>
      <c r="Y361" t="s">
        <v>25</v>
      </c>
      <c r="AH361" s="20">
        <v>111</v>
      </c>
      <c r="AI361" s="20" t="s">
        <v>5220</v>
      </c>
      <c r="AJ361" s="117">
        <v>73000</v>
      </c>
      <c r="AK361" s="20">
        <v>1</v>
      </c>
      <c r="AL361" s="20">
        <f t="shared" ref="AL361:AL365" si="104">AK361+AL362</f>
        <v>206</v>
      </c>
      <c r="AM361" s="20">
        <f t="shared" ref="AM361:AM365" si="105">AJ361*AL361</f>
        <v>15038000</v>
      </c>
      <c r="AN361" s="20"/>
    </row>
    <row r="362" spans="17:45">
      <c r="Q362" s="99" t="s">
        <v>5445</v>
      </c>
      <c r="R362" s="95">
        <v>7211722</v>
      </c>
      <c r="T362" t="s">
        <v>25</v>
      </c>
      <c r="Y362" t="s">
        <v>25</v>
      </c>
      <c r="AH362" s="20">
        <v>112</v>
      </c>
      <c r="AI362" s="20" t="s">
        <v>989</v>
      </c>
      <c r="AJ362" s="117">
        <v>4300000</v>
      </c>
      <c r="AK362" s="20">
        <v>1</v>
      </c>
      <c r="AL362" s="20">
        <f t="shared" si="104"/>
        <v>205</v>
      </c>
      <c r="AM362" s="20">
        <f t="shared" si="105"/>
        <v>881500000</v>
      </c>
      <c r="AN362" s="20"/>
    </row>
    <row r="363" spans="17:45">
      <c r="Q363" s="99" t="s">
        <v>5446</v>
      </c>
      <c r="R363" s="95">
        <v>8481864</v>
      </c>
      <c r="T363" s="114">
        <f>V359+T361</f>
        <v>-4032375.0808932781</v>
      </c>
      <c r="AH363" s="20">
        <v>113</v>
      </c>
      <c r="AI363" s="20" t="s">
        <v>5087</v>
      </c>
      <c r="AJ363" s="117">
        <v>1600000</v>
      </c>
      <c r="AK363" s="20">
        <v>0</v>
      </c>
      <c r="AL363" s="20">
        <f t="shared" si="104"/>
        <v>204</v>
      </c>
      <c r="AM363" s="20">
        <f t="shared" si="105"/>
        <v>326400000</v>
      </c>
      <c r="AN363" s="20"/>
    </row>
    <row r="364" spans="17:45">
      <c r="Q364" s="99" t="s">
        <v>5454</v>
      </c>
      <c r="R364" s="95">
        <v>1558697</v>
      </c>
      <c r="T364" t="s">
        <v>25</v>
      </c>
      <c r="AH364" s="20">
        <v>114</v>
      </c>
      <c r="AI364" s="20" t="s">
        <v>4271</v>
      </c>
      <c r="AJ364" s="117">
        <v>-10000000</v>
      </c>
      <c r="AK364" s="20">
        <v>1</v>
      </c>
      <c r="AL364" s="20">
        <f t="shared" si="104"/>
        <v>204</v>
      </c>
      <c r="AM364" s="20">
        <f t="shared" si="105"/>
        <v>-2040000000</v>
      </c>
      <c r="AN364" s="20" t="s">
        <v>5227</v>
      </c>
    </row>
    <row r="365" spans="17:45">
      <c r="Q365" s="99" t="s">
        <v>5459</v>
      </c>
      <c r="R365" s="95">
        <v>9042009</v>
      </c>
      <c r="T365" t="s">
        <v>25</v>
      </c>
      <c r="Y365" t="s">
        <v>25</v>
      </c>
      <c r="AH365" s="20">
        <v>115</v>
      </c>
      <c r="AI365" s="20" t="s">
        <v>5226</v>
      </c>
      <c r="AJ365" s="117">
        <v>571000</v>
      </c>
      <c r="AK365" s="20">
        <v>4</v>
      </c>
      <c r="AL365" s="20">
        <f t="shared" si="104"/>
        <v>203</v>
      </c>
      <c r="AM365" s="20">
        <f t="shared" si="105"/>
        <v>115913000</v>
      </c>
      <c r="AN365" s="20"/>
    </row>
    <row r="366" spans="17:45">
      <c r="Q366" s="99" t="s">
        <v>5460</v>
      </c>
      <c r="R366" s="95">
        <v>94969</v>
      </c>
      <c r="AH366" s="20">
        <v>116</v>
      </c>
      <c r="AI366" s="20" t="s">
        <v>5228</v>
      </c>
      <c r="AJ366" s="117">
        <v>200000</v>
      </c>
      <c r="AK366" s="20">
        <v>3</v>
      </c>
      <c r="AL366" s="20">
        <f t="shared" ref="AL366:AL377" si="106">AK366+AL367</f>
        <v>199</v>
      </c>
      <c r="AM366" s="20">
        <f t="shared" ref="AM366:AM377" si="107">AJ366*AL366</f>
        <v>39800000</v>
      </c>
      <c r="AN366" s="20"/>
    </row>
    <row r="367" spans="17:45">
      <c r="Q367" s="99" t="s">
        <v>5466</v>
      </c>
      <c r="R367" s="95">
        <v>40000000</v>
      </c>
      <c r="AH367" s="149">
        <v>117</v>
      </c>
      <c r="AI367" s="149" t="s">
        <v>5235</v>
      </c>
      <c r="AJ367" s="188">
        <v>50000</v>
      </c>
      <c r="AK367" s="149">
        <v>7</v>
      </c>
      <c r="AL367" s="149">
        <f t="shared" si="106"/>
        <v>196</v>
      </c>
      <c r="AM367" s="149">
        <f t="shared" si="107"/>
        <v>9800000</v>
      </c>
      <c r="AN367" s="149"/>
    </row>
    <row r="368" spans="17:45">
      <c r="Q368" s="99" t="s">
        <v>5466</v>
      </c>
      <c r="R368" s="95">
        <v>2806274</v>
      </c>
      <c r="T368" t="s">
        <v>25</v>
      </c>
      <c r="AH368" s="20">
        <v>118</v>
      </c>
      <c r="AI368" s="20" t="s">
        <v>5243</v>
      </c>
      <c r="AJ368" s="117">
        <v>-500000</v>
      </c>
      <c r="AK368" s="20">
        <v>12</v>
      </c>
      <c r="AL368" s="20">
        <f t="shared" si="106"/>
        <v>189</v>
      </c>
      <c r="AM368" s="20">
        <f t="shared" si="107"/>
        <v>-94500000</v>
      </c>
      <c r="AN368" s="20"/>
    </row>
    <row r="369" spans="17:45">
      <c r="Q369" s="99" t="s">
        <v>5467</v>
      </c>
      <c r="R369" s="95">
        <v>1331702</v>
      </c>
      <c r="T369" t="s">
        <v>25</v>
      </c>
      <c r="AH369" s="149">
        <v>119</v>
      </c>
      <c r="AI369" s="149" t="s">
        <v>988</v>
      </c>
      <c r="AJ369" s="188">
        <v>-50000</v>
      </c>
      <c r="AK369" s="149">
        <v>0</v>
      </c>
      <c r="AL369" s="149">
        <f t="shared" si="106"/>
        <v>177</v>
      </c>
      <c r="AM369" s="149">
        <f t="shared" si="107"/>
        <v>-8850000</v>
      </c>
      <c r="AN369" s="149"/>
    </row>
    <row r="370" spans="17:45">
      <c r="Q370" s="99" t="s">
        <v>5476</v>
      </c>
      <c r="R370" s="95">
        <v>851238</v>
      </c>
      <c r="W370" s="96" t="s">
        <v>25</v>
      </c>
      <c r="AH370" s="20">
        <v>120</v>
      </c>
      <c r="AI370" s="20" t="s">
        <v>988</v>
      </c>
      <c r="AJ370" s="117">
        <v>-50000</v>
      </c>
      <c r="AK370" s="20">
        <v>28</v>
      </c>
      <c r="AL370" s="20">
        <f t="shared" si="106"/>
        <v>177</v>
      </c>
      <c r="AM370" s="20">
        <f t="shared" si="107"/>
        <v>-8850000</v>
      </c>
      <c r="AN370" s="20"/>
    </row>
    <row r="371" spans="17:45">
      <c r="Q371" s="99" t="s">
        <v>5518</v>
      </c>
      <c r="R371" s="95">
        <v>652592</v>
      </c>
      <c r="T371" t="s">
        <v>25</v>
      </c>
      <c r="AH371" s="20">
        <v>121</v>
      </c>
      <c r="AI371" s="20" t="s">
        <v>5289</v>
      </c>
      <c r="AJ371" s="117">
        <v>-3020625</v>
      </c>
      <c r="AK371" s="20">
        <v>18</v>
      </c>
      <c r="AL371" s="20">
        <f t="shared" si="106"/>
        <v>149</v>
      </c>
      <c r="AM371" s="20">
        <f t="shared" si="107"/>
        <v>-450073125</v>
      </c>
      <c r="AN371" s="20"/>
    </row>
    <row r="372" spans="17:45">
      <c r="Q372" s="99"/>
      <c r="R372" s="95"/>
      <c r="T372" t="s">
        <v>25</v>
      </c>
      <c r="AH372" s="20">
        <v>122</v>
      </c>
      <c r="AI372" s="20" t="s">
        <v>5300</v>
      </c>
      <c r="AJ372" s="117">
        <v>18000000</v>
      </c>
      <c r="AK372" s="20">
        <v>19</v>
      </c>
      <c r="AL372" s="20">
        <f t="shared" si="106"/>
        <v>131</v>
      </c>
      <c r="AM372" s="20">
        <f t="shared" si="107"/>
        <v>2358000000</v>
      </c>
      <c r="AN372" s="20"/>
      <c r="AR372" t="s">
        <v>25</v>
      </c>
    </row>
    <row r="373" spans="17:45">
      <c r="Q373" s="99"/>
      <c r="R373" s="95">
        <f>SUM(R282:R372)</f>
        <v>536952249</v>
      </c>
      <c r="T373" t="s">
        <v>25</v>
      </c>
      <c r="AH373" s="20">
        <v>123</v>
      </c>
      <c r="AI373" s="20" t="s">
        <v>5329</v>
      </c>
      <c r="AJ373" s="117">
        <v>2000000</v>
      </c>
      <c r="AK373" s="20">
        <v>6</v>
      </c>
      <c r="AL373" s="20">
        <f t="shared" si="106"/>
        <v>112</v>
      </c>
      <c r="AM373" s="20">
        <f t="shared" si="107"/>
        <v>224000000</v>
      </c>
      <c r="AN373" s="20"/>
    </row>
    <row r="374" spans="17:45">
      <c r="Q374" s="99"/>
      <c r="R374" s="99" t="s">
        <v>6</v>
      </c>
      <c r="T374" t="s">
        <v>25</v>
      </c>
      <c r="U374" s="96" t="s">
        <v>25</v>
      </c>
      <c r="AH374" s="149">
        <v>124</v>
      </c>
      <c r="AI374" s="149" t="s">
        <v>5342</v>
      </c>
      <c r="AJ374" s="188">
        <v>40000000</v>
      </c>
      <c r="AK374" s="149">
        <v>6</v>
      </c>
      <c r="AL374" s="149">
        <f t="shared" si="106"/>
        <v>106</v>
      </c>
      <c r="AM374" s="149">
        <f t="shared" si="107"/>
        <v>4240000000</v>
      </c>
      <c r="AN374" s="149"/>
      <c r="AS374" t="s">
        <v>25</v>
      </c>
    </row>
    <row r="375" spans="17:45">
      <c r="T375" t="s">
        <v>25</v>
      </c>
      <c r="AH375" s="20">
        <v>125</v>
      </c>
      <c r="AI375" s="20" t="s">
        <v>5353</v>
      </c>
      <c r="AJ375" s="117">
        <v>200000</v>
      </c>
      <c r="AK375" s="20">
        <v>0</v>
      </c>
      <c r="AL375" s="20">
        <f t="shared" si="106"/>
        <v>100</v>
      </c>
      <c r="AM375" s="20">
        <f t="shared" si="107"/>
        <v>20000000</v>
      </c>
      <c r="AN375" s="20"/>
    </row>
    <row r="376" spans="17:45">
      <c r="T376" t="s">
        <v>25</v>
      </c>
      <c r="AH376" s="149">
        <v>126</v>
      </c>
      <c r="AI376" s="149" t="s">
        <v>5353</v>
      </c>
      <c r="AJ376" s="188">
        <v>200000</v>
      </c>
      <c r="AK376" s="149">
        <v>1</v>
      </c>
      <c r="AL376" s="149">
        <f t="shared" si="106"/>
        <v>100</v>
      </c>
      <c r="AM376" s="149">
        <f t="shared" si="107"/>
        <v>20000000</v>
      </c>
      <c r="AN376" s="149"/>
    </row>
    <row r="377" spans="17:45">
      <c r="Q377" t="s">
        <v>25</v>
      </c>
      <c r="T377" t="s">
        <v>25</v>
      </c>
      <c r="U377" s="96" t="s">
        <v>25</v>
      </c>
      <c r="V377" t="s">
        <v>25</v>
      </c>
      <c r="Y377" t="s">
        <v>25</v>
      </c>
      <c r="AH377" s="20">
        <v>127</v>
      </c>
      <c r="AI377" s="20" t="s">
        <v>5358</v>
      </c>
      <c r="AJ377" s="117">
        <v>50000</v>
      </c>
      <c r="AK377" s="20">
        <v>4</v>
      </c>
      <c r="AL377" s="20">
        <f t="shared" si="106"/>
        <v>99</v>
      </c>
      <c r="AM377" s="20">
        <f t="shared" si="107"/>
        <v>4950000</v>
      </c>
      <c r="AN377" s="20"/>
      <c r="AR377" t="s">
        <v>25</v>
      </c>
    </row>
    <row r="378" spans="17:45">
      <c r="T378" t="s">
        <v>25</v>
      </c>
      <c r="AH378" s="20">
        <v>128</v>
      </c>
      <c r="AI378" s="20" t="s">
        <v>5361</v>
      </c>
      <c r="AJ378" s="117">
        <v>100000</v>
      </c>
      <c r="AK378" s="20">
        <v>9</v>
      </c>
      <c r="AL378" s="20">
        <f t="shared" ref="AL378:AL382" si="108">AK378+AL379</f>
        <v>95</v>
      </c>
      <c r="AM378" s="20">
        <f t="shared" ref="AM378:AM382" si="109">AJ378*AL378</f>
        <v>9500000</v>
      </c>
      <c r="AN378" s="20"/>
    </row>
    <row r="379" spans="17:45">
      <c r="AH379" s="20">
        <v>129</v>
      </c>
      <c r="AI379" s="20" t="s">
        <v>5379</v>
      </c>
      <c r="AJ379" s="117">
        <v>-550000</v>
      </c>
      <c r="AK379" s="20">
        <v>5</v>
      </c>
      <c r="AL379" s="20">
        <f t="shared" si="108"/>
        <v>86</v>
      </c>
      <c r="AM379" s="20">
        <f t="shared" si="109"/>
        <v>-47300000</v>
      </c>
      <c r="AN379" s="20"/>
    </row>
    <row r="380" spans="17:45">
      <c r="R380" t="s">
        <v>25</v>
      </c>
      <c r="T380" t="s">
        <v>25</v>
      </c>
      <c r="AH380" s="20">
        <v>130</v>
      </c>
      <c r="AI380" s="20" t="s">
        <v>5385</v>
      </c>
      <c r="AJ380" s="117">
        <v>-29686490</v>
      </c>
      <c r="AK380" s="20">
        <v>1</v>
      </c>
      <c r="AL380" s="20">
        <f t="shared" si="108"/>
        <v>81</v>
      </c>
      <c r="AM380" s="20">
        <f t="shared" si="109"/>
        <v>-2404605690</v>
      </c>
      <c r="AN380" s="20"/>
    </row>
    <row r="381" spans="17:45">
      <c r="T381" t="s">
        <v>25</v>
      </c>
      <c r="U381" s="96" t="s">
        <v>25</v>
      </c>
      <c r="AH381" s="20">
        <v>131</v>
      </c>
      <c r="AI381" s="20" t="s">
        <v>5396</v>
      </c>
      <c r="AJ381" s="117">
        <v>-9000000</v>
      </c>
      <c r="AK381" s="20">
        <v>8</v>
      </c>
      <c r="AL381" s="20">
        <f t="shared" si="108"/>
        <v>80</v>
      </c>
      <c r="AM381" s="20">
        <f t="shared" si="109"/>
        <v>-720000000</v>
      </c>
      <c r="AN381" s="20"/>
      <c r="AP381" t="s">
        <v>25</v>
      </c>
    </row>
    <row r="382" spans="17:45">
      <c r="R382" t="s">
        <v>25</v>
      </c>
      <c r="AH382" s="20">
        <v>132</v>
      </c>
      <c r="AI382" s="20" t="s">
        <v>5441</v>
      </c>
      <c r="AJ382" s="117">
        <v>810000</v>
      </c>
      <c r="AK382" s="20">
        <v>2</v>
      </c>
      <c r="AL382" s="20">
        <f t="shared" si="108"/>
        <v>72</v>
      </c>
      <c r="AM382" s="20">
        <f t="shared" si="109"/>
        <v>58320000</v>
      </c>
      <c r="AN382" s="20"/>
    </row>
    <row r="383" spans="17:45">
      <c r="U383" s="96" t="s">
        <v>25</v>
      </c>
      <c r="AH383" s="20">
        <v>133</v>
      </c>
      <c r="AI383" s="20" t="s">
        <v>5446</v>
      </c>
      <c r="AJ383" s="117">
        <v>-5000000</v>
      </c>
      <c r="AK383" s="20">
        <v>3</v>
      </c>
      <c r="AL383" s="20">
        <f t="shared" ref="AL383:AL384" si="110">AK383+AL384</f>
        <v>70</v>
      </c>
      <c r="AM383" s="20">
        <f t="shared" ref="AM383:AM384" si="111">AJ383*AL383</f>
        <v>-350000000</v>
      </c>
      <c r="AN383" s="20"/>
    </row>
    <row r="384" spans="17:45">
      <c r="AH384" s="20">
        <v>134</v>
      </c>
      <c r="AI384" s="20" t="s">
        <v>5454</v>
      </c>
      <c r="AJ384" s="117">
        <v>-26000000</v>
      </c>
      <c r="AK384" s="20">
        <v>0</v>
      </c>
      <c r="AL384" s="20">
        <f t="shared" si="110"/>
        <v>67</v>
      </c>
      <c r="AM384" s="20">
        <f t="shared" si="111"/>
        <v>-1742000000</v>
      </c>
      <c r="AN384" s="20"/>
    </row>
    <row r="385" spans="32:45">
      <c r="AH385" s="256">
        <v>135</v>
      </c>
      <c r="AI385" s="256" t="s">
        <v>5454</v>
      </c>
      <c r="AJ385" s="247">
        <v>-26000000</v>
      </c>
      <c r="AK385" s="256">
        <v>1</v>
      </c>
      <c r="AL385" s="256">
        <f t="shared" ref="AL385:AL388" si="112">AK385+AL386</f>
        <v>67</v>
      </c>
      <c r="AM385" s="256">
        <f t="shared" ref="AM385:AM388" si="113">AJ385*AL385</f>
        <v>-1742000000</v>
      </c>
      <c r="AN385" s="256"/>
    </row>
    <row r="386" spans="32:45">
      <c r="AH386" s="20">
        <v>136</v>
      </c>
      <c r="AI386" s="20" t="s">
        <v>5459</v>
      </c>
      <c r="AJ386" s="117">
        <v>-81800000</v>
      </c>
      <c r="AK386" s="20">
        <v>0</v>
      </c>
      <c r="AL386" s="20">
        <f t="shared" si="112"/>
        <v>66</v>
      </c>
      <c r="AM386" s="20">
        <f t="shared" si="113"/>
        <v>-5398800000</v>
      </c>
      <c r="AN386" s="20"/>
      <c r="AQ386" t="s">
        <v>25</v>
      </c>
    </row>
    <row r="387" spans="32:45">
      <c r="AF387" s="96" t="s">
        <v>25</v>
      </c>
      <c r="AH387" s="256">
        <v>137</v>
      </c>
      <c r="AI387" s="256" t="s">
        <v>5459</v>
      </c>
      <c r="AJ387" s="247">
        <v>-110000000</v>
      </c>
      <c r="AK387" s="256">
        <v>1</v>
      </c>
      <c r="AL387" s="256">
        <f t="shared" si="112"/>
        <v>66</v>
      </c>
      <c r="AM387" s="256">
        <f t="shared" si="113"/>
        <v>-7260000000</v>
      </c>
      <c r="AN387" s="256"/>
    </row>
    <row r="388" spans="32:45">
      <c r="AH388" s="20">
        <v>138</v>
      </c>
      <c r="AI388" s="20" t="s">
        <v>5460</v>
      </c>
      <c r="AJ388" s="117">
        <v>-34000000</v>
      </c>
      <c r="AK388" s="20">
        <v>0</v>
      </c>
      <c r="AL388" s="20">
        <f t="shared" si="112"/>
        <v>65</v>
      </c>
      <c r="AM388" s="20">
        <f t="shared" si="113"/>
        <v>-2210000000</v>
      </c>
      <c r="AN388" s="20"/>
      <c r="AS388" t="s">
        <v>25</v>
      </c>
    </row>
    <row r="389" spans="32:45">
      <c r="AH389" s="149">
        <v>139</v>
      </c>
      <c r="AI389" s="149" t="s">
        <v>5460</v>
      </c>
      <c r="AJ389" s="188">
        <v>-23900000</v>
      </c>
      <c r="AK389" s="149">
        <v>5</v>
      </c>
      <c r="AL389" s="149">
        <f t="shared" ref="AL389:AL394" si="114">AK389+AL390</f>
        <v>65</v>
      </c>
      <c r="AM389" s="149">
        <f t="shared" ref="AM389:AM394" si="115">AJ389*AL389</f>
        <v>-1553500000</v>
      </c>
      <c r="AN389" s="149"/>
    </row>
    <row r="390" spans="32:45">
      <c r="AH390" s="20">
        <v>140</v>
      </c>
      <c r="AI390" s="20" t="s">
        <v>5476</v>
      </c>
      <c r="AJ390" s="117">
        <v>1000000</v>
      </c>
      <c r="AK390" s="20">
        <v>0</v>
      </c>
      <c r="AL390" s="20">
        <f t="shared" si="114"/>
        <v>60</v>
      </c>
      <c r="AM390" s="20">
        <f t="shared" si="115"/>
        <v>60000000</v>
      </c>
      <c r="AN390" s="20"/>
    </row>
    <row r="391" spans="32:45">
      <c r="AH391" s="149">
        <v>141</v>
      </c>
      <c r="AI391" s="149" t="s">
        <v>5476</v>
      </c>
      <c r="AJ391" s="188">
        <v>1000000</v>
      </c>
      <c r="AK391" s="149">
        <v>4</v>
      </c>
      <c r="AL391" s="149">
        <f t="shared" si="114"/>
        <v>60</v>
      </c>
      <c r="AM391" s="149">
        <f t="shared" si="115"/>
        <v>60000000</v>
      </c>
      <c r="AN391" s="149"/>
    </row>
    <row r="392" spans="32:45">
      <c r="AH392" s="20">
        <v>142</v>
      </c>
      <c r="AI392" s="20" t="s">
        <v>5482</v>
      </c>
      <c r="AJ392" s="117">
        <v>400000</v>
      </c>
      <c r="AK392" s="20">
        <v>0</v>
      </c>
      <c r="AL392" s="20">
        <f t="shared" si="114"/>
        <v>56</v>
      </c>
      <c r="AM392" s="20">
        <f t="shared" si="115"/>
        <v>22400000</v>
      </c>
      <c r="AN392" s="20"/>
    </row>
    <row r="393" spans="32:45">
      <c r="AH393" s="149">
        <v>143</v>
      </c>
      <c r="AI393" s="149" t="s">
        <v>5482</v>
      </c>
      <c r="AJ393" s="188">
        <v>400000</v>
      </c>
      <c r="AK393" s="149">
        <v>35</v>
      </c>
      <c r="AL393" s="149">
        <f t="shared" si="114"/>
        <v>56</v>
      </c>
      <c r="AM393" s="149">
        <f t="shared" si="115"/>
        <v>22400000</v>
      </c>
      <c r="AN393" s="149"/>
      <c r="AR393" t="s">
        <v>25</v>
      </c>
    </row>
    <row r="394" spans="32:45">
      <c r="AH394" s="20">
        <v>144</v>
      </c>
      <c r="AI394" s="20" t="s">
        <v>5532</v>
      </c>
      <c r="AJ394" s="117">
        <v>3000000</v>
      </c>
      <c r="AK394" s="20">
        <v>0</v>
      </c>
      <c r="AL394" s="20">
        <f t="shared" si="114"/>
        <v>21</v>
      </c>
      <c r="AM394" s="20">
        <f t="shared" si="115"/>
        <v>63000000</v>
      </c>
      <c r="AN394" s="20"/>
    </row>
    <row r="395" spans="32:45">
      <c r="AH395" s="149">
        <v>145</v>
      </c>
      <c r="AI395" s="149" t="s">
        <v>5532</v>
      </c>
      <c r="AJ395" s="188">
        <v>2725000</v>
      </c>
      <c r="AK395" s="149">
        <v>19</v>
      </c>
      <c r="AL395" s="149">
        <f t="shared" ref="AL395:AL402" si="116">AK395+AL396</f>
        <v>21</v>
      </c>
      <c r="AM395" s="149">
        <f t="shared" ref="AM395:AM402" si="117">AJ395*AL395</f>
        <v>57225000</v>
      </c>
      <c r="AN395" s="149"/>
    </row>
    <row r="396" spans="32:45">
      <c r="AH396" s="149">
        <v>146</v>
      </c>
      <c r="AI396" s="149" t="s">
        <v>5407</v>
      </c>
      <c r="AJ396" s="188">
        <v>-8644090</v>
      </c>
      <c r="AK396" s="149">
        <v>0</v>
      </c>
      <c r="AL396" s="149">
        <f t="shared" si="116"/>
        <v>2</v>
      </c>
      <c r="AM396" s="149">
        <f t="shared" si="117"/>
        <v>-17288180</v>
      </c>
      <c r="AN396" s="149" t="s">
        <v>4793</v>
      </c>
    </row>
    <row r="397" spans="32:45">
      <c r="AH397" s="20">
        <v>147</v>
      </c>
      <c r="AI397" s="20" t="s">
        <v>5407</v>
      </c>
      <c r="AJ397" s="117">
        <v>-65461942</v>
      </c>
      <c r="AK397" s="20">
        <v>1</v>
      </c>
      <c r="AL397" s="20">
        <f t="shared" si="116"/>
        <v>2</v>
      </c>
      <c r="AM397" s="20">
        <f t="shared" si="117"/>
        <v>-130923884</v>
      </c>
      <c r="AN397" s="20" t="s">
        <v>4793</v>
      </c>
    </row>
    <row r="398" spans="32:45">
      <c r="AH398" s="20">
        <v>148</v>
      </c>
      <c r="AI398" s="20" t="s">
        <v>5582</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2054842252.5000002</v>
      </c>
    </row>
    <row r="409" spans="34:40">
      <c r="AI409" t="s">
        <v>4132</v>
      </c>
      <c r="AJ409" s="114">
        <f>AJ408-AJ404</f>
        <v>1920932547.5000002</v>
      </c>
    </row>
    <row r="410" spans="34:40">
      <c r="AI410" t="s">
        <v>940</v>
      </c>
      <c r="AJ410" s="114">
        <f>AN404</f>
        <v>88945521.780234456</v>
      </c>
    </row>
    <row r="411" spans="34:40">
      <c r="AI411" t="s">
        <v>4061</v>
      </c>
      <c r="AJ411" s="114">
        <f>AJ409-AJ410</f>
        <v>1831987025.7197657</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7"/>
  <sheetViews>
    <sheetView tabSelected="1" topLeftCell="A93" zoomScale="85" zoomScaleNormal="85" workbookViewId="0">
      <selection activeCell="M119" sqref="M119"/>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5399</v>
      </c>
      <c r="B77" s="60" t="s">
        <v>4233</v>
      </c>
      <c r="C77" s="294">
        <v>5002</v>
      </c>
      <c r="D77" s="60">
        <v>14000</v>
      </c>
      <c r="E77" s="60" t="s">
        <v>5400</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4">
        <v>5184</v>
      </c>
      <c r="D78" s="60">
        <v>17550</v>
      </c>
      <c r="E78" s="60" t="s">
        <v>5400</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4">
        <v>1619.9</v>
      </c>
      <c r="D85" s="60">
        <v>1000</v>
      </c>
      <c r="E85" s="60" t="s">
        <v>5400</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4">
        <v>620</v>
      </c>
      <c r="D86" s="60">
        <v>10908</v>
      </c>
      <c r="E86" s="60" t="s">
        <v>5400</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5528</v>
      </c>
      <c r="B88" s="60" t="s">
        <v>5400</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4">
        <v>543</v>
      </c>
      <c r="D89" s="60">
        <v>3141</v>
      </c>
      <c r="E89" s="60" t="s">
        <v>5529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5528</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5532</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12365.4</v>
      </c>
      <c r="Y95" s="117">
        <f>T95*X95</f>
        <v>10807359.6</v>
      </c>
    </row>
    <row r="96" spans="1:25">
      <c r="A96" s="295" t="s">
        <v>5541</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1041.9000000000001</v>
      </c>
      <c r="Y96" s="117">
        <f t="shared" ref="Y96:Y97" si="22">T96*X96</f>
        <v>307360500</v>
      </c>
    </row>
    <row r="97" spans="1:27">
      <c r="A97" s="295" t="s">
        <v>5541</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5541</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5503</v>
      </c>
      <c r="S98" s="99" t="s">
        <v>5400</v>
      </c>
      <c r="T98" s="99">
        <v>0</v>
      </c>
      <c r="U98" s="117">
        <v>683292</v>
      </c>
      <c r="V98" s="117"/>
      <c r="W98" s="117"/>
      <c r="X98" s="99">
        <f>'برنامه 5 ساله'!P44</f>
        <v>1028.9000000000001</v>
      </c>
      <c r="Y98" s="117">
        <f>U98</f>
        <v>683292</v>
      </c>
    </row>
    <row r="99" spans="1:27">
      <c r="A99" s="295" t="s">
        <v>5541</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5" t="s">
        <v>5546</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5546</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R101" s="99"/>
      <c r="S101" s="99"/>
      <c r="T101" s="99"/>
      <c r="U101" s="117"/>
      <c r="V101" s="117"/>
      <c r="W101" s="99"/>
      <c r="X101" s="99"/>
      <c r="Y101" s="99"/>
    </row>
    <row r="102" spans="1:27">
      <c r="A102" s="295" t="s">
        <v>5546</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R102" s="99"/>
      <c r="S102" s="99"/>
      <c r="T102" s="99"/>
      <c r="U102" s="117">
        <v>159900000</v>
      </c>
      <c r="V102" s="117"/>
      <c r="W102" s="99"/>
      <c r="X102" s="99"/>
      <c r="Y102" s="95">
        <f>SUM(Y95:Y99)</f>
        <v>323844570.60000002</v>
      </c>
    </row>
    <row r="103" spans="1:27">
      <c r="A103" s="295" t="s">
        <v>5546</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5546</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5551</v>
      </c>
      <c r="B105" s="295" t="s">
        <v>4233</v>
      </c>
      <c r="C105" s="297">
        <f>753.1*N76</f>
        <v>717.77703646980001</v>
      </c>
      <c r="D105" s="295">
        <v>31210</v>
      </c>
      <c r="E105" s="292" t="s">
        <v>4383</v>
      </c>
      <c r="F105" s="293">
        <v>8938</v>
      </c>
      <c r="G105" s="295">
        <f t="shared" si="26"/>
        <v>2470.4576135451912</v>
      </c>
      <c r="H105" s="296">
        <f t="shared" ref="H105" si="29">C105/F105</f>
        <v>8.0306224711322441E-2</v>
      </c>
      <c r="I105" s="296">
        <f t="shared" ref="I105" si="30">F105/C105</f>
        <v>12.452334841971586</v>
      </c>
      <c r="J105" s="99" t="s">
        <v>452</v>
      </c>
      <c r="R105" s="99"/>
      <c r="S105" s="99"/>
      <c r="T105" s="99"/>
      <c r="U105" s="99"/>
      <c r="V105" s="99"/>
      <c r="W105" s="99"/>
      <c r="X105" s="99"/>
      <c r="Y105" s="99"/>
    </row>
    <row r="106" spans="1:27">
      <c r="A106" s="295" t="s">
        <v>5551</v>
      </c>
      <c r="B106" s="295" t="s">
        <v>4233</v>
      </c>
      <c r="C106" s="297">
        <f>753.1*N76</f>
        <v>717.77703646980001</v>
      </c>
      <c r="D106" s="295">
        <v>94101</v>
      </c>
      <c r="E106" s="62" t="s">
        <v>4379</v>
      </c>
      <c r="F106" s="51">
        <v>8497.4</v>
      </c>
      <c r="G106" s="295">
        <f t="shared" ref="G106:G109" si="31">C106*D106*0.99025/(F106*1.0046399)</f>
        <v>7834.876675859422</v>
      </c>
      <c r="H106" s="208">
        <f t="shared" ref="H106:H109" si="32">C106/F106</f>
        <v>8.4470195173794338E-2</v>
      </c>
      <c r="I106" s="296">
        <f t="shared" ref="I106:I109" si="33">F106/C106</f>
        <v>11.838495198721118</v>
      </c>
      <c r="J106" s="99" t="s">
        <v>452</v>
      </c>
    </row>
    <row r="107" spans="1:27">
      <c r="A107" s="295" t="s">
        <v>5551</v>
      </c>
      <c r="B107" s="295" t="s">
        <v>4233</v>
      </c>
      <c r="C107" s="297">
        <f>751.5*N76</f>
        <v>716.25208193739832</v>
      </c>
      <c r="D107" s="295">
        <v>61303</v>
      </c>
      <c r="E107" s="62" t="s">
        <v>4379</v>
      </c>
      <c r="F107" s="51">
        <v>8558.9</v>
      </c>
      <c r="G107" s="295">
        <f t="shared" si="31"/>
        <v>5056.6640569518186</v>
      </c>
      <c r="H107" s="296">
        <f t="shared" si="32"/>
        <v>8.3685062559137074E-2</v>
      </c>
      <c r="I107" s="296">
        <f t="shared" si="33"/>
        <v>11.949563869816524</v>
      </c>
      <c r="J107" s="99" t="s">
        <v>749</v>
      </c>
    </row>
    <row r="108" spans="1:27">
      <c r="A108" s="295" t="s">
        <v>5555</v>
      </c>
      <c r="B108" s="295" t="s">
        <v>4233</v>
      </c>
      <c r="C108" s="297">
        <f>785.6*N76</f>
        <v>748.75267540920845</v>
      </c>
      <c r="D108" s="295">
        <v>10000</v>
      </c>
      <c r="E108" s="292" t="s">
        <v>4383</v>
      </c>
      <c r="F108" s="293">
        <v>9000</v>
      </c>
      <c r="G108" s="295">
        <f t="shared" si="31"/>
        <v>820.0310676536036</v>
      </c>
      <c r="H108" s="296">
        <f t="shared" si="32"/>
        <v>8.3194741712134271E-2</v>
      </c>
      <c r="I108" s="296">
        <f t="shared" si="33"/>
        <v>12.019990439541759</v>
      </c>
      <c r="J108" s="99" t="s">
        <v>452</v>
      </c>
      <c r="L108" t="s">
        <v>25</v>
      </c>
      <c r="M108" t="s">
        <v>25</v>
      </c>
      <c r="R108" s="99" t="s">
        <v>749</v>
      </c>
      <c r="S108" s="99"/>
      <c r="T108" s="99"/>
      <c r="U108" s="99"/>
      <c r="V108" s="99"/>
      <c r="W108" s="99" t="s">
        <v>1232</v>
      </c>
      <c r="X108" s="99" t="s">
        <v>938</v>
      </c>
      <c r="Y108" s="69" t="s">
        <v>5538</v>
      </c>
      <c r="Z108" t="s">
        <v>25</v>
      </c>
    </row>
    <row r="109" spans="1:27">
      <c r="A109" s="295" t="s">
        <v>5569</v>
      </c>
      <c r="B109" s="295" t="s">
        <v>4233</v>
      </c>
      <c r="C109" s="297">
        <v>919.8</v>
      </c>
      <c r="D109" s="295">
        <v>100000</v>
      </c>
      <c r="E109" s="221" t="s">
        <v>4383</v>
      </c>
      <c r="F109" s="220">
        <v>10640</v>
      </c>
      <c r="G109" s="295">
        <f t="shared" si="31"/>
        <v>8520.9144668599529</v>
      </c>
      <c r="H109" s="296">
        <f t="shared" si="32"/>
        <v>8.6447368421052634E-2</v>
      </c>
      <c r="I109" s="296">
        <f t="shared" si="33"/>
        <v>11.567732115677321</v>
      </c>
      <c r="J109" s="99" t="s">
        <v>452</v>
      </c>
      <c r="R109" s="99"/>
      <c r="S109" s="99" t="s">
        <v>4383</v>
      </c>
      <c r="T109" s="99">
        <v>4279</v>
      </c>
      <c r="U109" s="117">
        <v>32796123</v>
      </c>
      <c r="V109" s="117">
        <f>U109/T109</f>
        <v>7664.436316896471</v>
      </c>
      <c r="W109" s="117">
        <f>V109*1.01</f>
        <v>7741.0806800654354</v>
      </c>
      <c r="X109" s="99">
        <f>X95</f>
        <v>12365.4</v>
      </c>
      <c r="Y109" s="99">
        <f>T109*X109</f>
        <v>52911546.600000001</v>
      </c>
    </row>
    <row r="110" spans="1:27">
      <c r="A110" s="295" t="s">
        <v>5407</v>
      </c>
      <c r="B110" s="295" t="s">
        <v>4233</v>
      </c>
      <c r="C110" s="297">
        <v>1100</v>
      </c>
      <c r="D110" s="295">
        <v>300000</v>
      </c>
      <c r="E110" s="221" t="s">
        <v>4383</v>
      </c>
      <c r="F110" s="220">
        <v>12513</v>
      </c>
      <c r="G110" s="295">
        <f t="shared" ref="G110" si="34">C110*D110*0.99025/(F110*1.0046399)</f>
        <v>25994.826546765507</v>
      </c>
      <c r="H110" s="296">
        <f t="shared" ref="H110" si="35">C110/F110</f>
        <v>8.7908575081914811E-2</v>
      </c>
      <c r="I110" s="296">
        <f t="shared" ref="I110" si="36">F110/C110</f>
        <v>11.375454545454545</v>
      </c>
      <c r="J110" s="99" t="s">
        <v>749</v>
      </c>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c r="A111" s="295" t="s">
        <v>5407</v>
      </c>
      <c r="B111" s="295" t="s">
        <v>4233</v>
      </c>
      <c r="C111" s="297">
        <v>1100</v>
      </c>
      <c r="D111" s="295">
        <v>700000</v>
      </c>
      <c r="E111" s="221" t="s">
        <v>4383</v>
      </c>
      <c r="F111" s="220">
        <v>12494</v>
      </c>
      <c r="G111" s="60">
        <f>C111*D111*0.99025/(F111*1.0046399)</f>
        <v>60746.834535450012</v>
      </c>
      <c r="H111" s="219">
        <f>C111/F111</f>
        <v>8.8042260284936766E-2</v>
      </c>
      <c r="I111" s="296">
        <f>F111/C111</f>
        <v>11.358181818181817</v>
      </c>
      <c r="J111" s="60" t="s">
        <v>452</v>
      </c>
      <c r="K111">
        <f>G111-D112-D113</f>
        <v>23253.834535450012</v>
      </c>
      <c r="L111" t="s">
        <v>5607</v>
      </c>
      <c r="R111" s="99"/>
      <c r="S111" s="99" t="s">
        <v>4233</v>
      </c>
      <c r="T111" s="99">
        <v>12936</v>
      </c>
      <c r="U111" s="117">
        <v>6322162</v>
      </c>
      <c r="V111" s="117">
        <f t="shared" si="37"/>
        <v>488.72619047619048</v>
      </c>
      <c r="W111" s="117">
        <f t="shared" si="38"/>
        <v>493.61345238095237</v>
      </c>
      <c r="X111" s="99">
        <f>X96</f>
        <v>1041.9000000000001</v>
      </c>
      <c r="Y111" s="99">
        <f t="shared" si="39"/>
        <v>13478018.4</v>
      </c>
    </row>
    <row r="112" spans="1:27">
      <c r="A112" s="221" t="s">
        <v>5604</v>
      </c>
      <c r="B112" s="221" t="s">
        <v>4383</v>
      </c>
      <c r="C112" s="220">
        <v>13065.5</v>
      </c>
      <c r="D112" s="60">
        <v>28426</v>
      </c>
      <c r="E112" s="295" t="s">
        <v>4233</v>
      </c>
      <c r="F112" s="297">
        <v>1054.7860000000001</v>
      </c>
      <c r="G112" s="295">
        <f>C112*D112*0.99025/(F112*1.0046399)</f>
        <v>347065.82996495016</v>
      </c>
      <c r="H112" s="296">
        <f>C112/F112</f>
        <v>12.386872787465894</v>
      </c>
      <c r="I112" s="296">
        <f>F112/C112</f>
        <v>8.0730626458995064E-2</v>
      </c>
      <c r="J112" s="60" t="s">
        <v>452</v>
      </c>
      <c r="R112" s="99"/>
      <c r="S112" s="99" t="s">
        <v>5400</v>
      </c>
      <c r="T112" s="99">
        <v>4687</v>
      </c>
      <c r="U112" s="117">
        <v>1911597</v>
      </c>
      <c r="V112" s="117">
        <f>U112/T112</f>
        <v>407.85086409216984</v>
      </c>
      <c r="W112" s="117">
        <f>V112*1.01</f>
        <v>411.92937273309155</v>
      </c>
      <c r="X112" s="99">
        <f>X98</f>
        <v>1028.9000000000001</v>
      </c>
      <c r="Y112" s="99">
        <f t="shared" si="39"/>
        <v>4822454.3000000007</v>
      </c>
    </row>
    <row r="113" spans="1:25">
      <c r="A113" s="221" t="s">
        <v>5616</v>
      </c>
      <c r="B113" s="221" t="s">
        <v>4383</v>
      </c>
      <c r="C113" s="220">
        <v>12840</v>
      </c>
      <c r="D113" s="60">
        <v>9067</v>
      </c>
      <c r="E113" s="295" t="s">
        <v>4233</v>
      </c>
      <c r="F113" s="297">
        <v>1034.5999999999999</v>
      </c>
      <c r="G113" s="295">
        <f>C113*D113*0.99025/(F113*1.0046399)</f>
        <v>110915.07928369346</v>
      </c>
      <c r="H113" s="296">
        <f>C113/F113</f>
        <v>12.410593466073847</v>
      </c>
      <c r="I113" s="296">
        <f>F113/C113</f>
        <v>8.0576323987538931E-2</v>
      </c>
      <c r="J113" s="60" t="s">
        <v>452</v>
      </c>
      <c r="R113" s="99" t="s">
        <v>5503</v>
      </c>
      <c r="S113" s="99" t="s">
        <v>4553</v>
      </c>
      <c r="T113" s="99">
        <v>0</v>
      </c>
      <c r="U113" s="117">
        <v>180438</v>
      </c>
      <c r="V113" s="117"/>
      <c r="W113" s="117"/>
      <c r="X113" s="99">
        <f>X99</f>
        <v>850</v>
      </c>
      <c r="Y113" s="95">
        <f>U113</f>
        <v>180438</v>
      </c>
    </row>
    <row r="114" spans="1:25">
      <c r="A114" s="295" t="s">
        <v>5622</v>
      </c>
      <c r="B114" s="295" t="s">
        <v>4233</v>
      </c>
      <c r="C114" s="297">
        <f>C115</f>
        <v>1034.2</v>
      </c>
      <c r="D114" s="295"/>
      <c r="E114" s="62" t="s">
        <v>4379</v>
      </c>
      <c r="F114" s="51">
        <v>12401.5</v>
      </c>
      <c r="G114" s="295">
        <f>C114*D114*0.99025/(F114*1.0046399)</f>
        <v>0</v>
      </c>
      <c r="H114" s="296">
        <f>C114/F114</f>
        <v>8.3393137926863689E-2</v>
      </c>
      <c r="I114" s="296">
        <f>F114/C114</f>
        <v>11.991394314445948</v>
      </c>
      <c r="J114" s="99"/>
      <c r="R114" s="99"/>
      <c r="S114" s="99"/>
      <c r="T114" s="99"/>
      <c r="U114" s="117"/>
      <c r="V114" s="117"/>
      <c r="W114" s="117"/>
      <c r="X114" s="99"/>
      <c r="Y114" s="99"/>
    </row>
    <row r="115" spans="1:25" ht="83.25" customHeight="1">
      <c r="A115" s="295" t="s">
        <v>5622</v>
      </c>
      <c r="B115" s="295" t="s">
        <v>4233</v>
      </c>
      <c r="C115" s="297">
        <f>F126</f>
        <v>1034.2</v>
      </c>
      <c r="D115" s="295"/>
      <c r="E115" s="221" t="s">
        <v>4383</v>
      </c>
      <c r="F115" s="220">
        <v>13500</v>
      </c>
      <c r="G115" s="295">
        <f t="shared" ref="G115:G117" si="40">C115*D115*0.99025/(F115*1.0046399)</f>
        <v>0</v>
      </c>
      <c r="H115" s="296">
        <f t="shared" ref="H115:H117" si="41">C115/F115</f>
        <v>7.6607407407407416E-2</v>
      </c>
      <c r="I115" s="296">
        <f t="shared" ref="I115:I117" si="42">F115/C115</f>
        <v>13.053567975246567</v>
      </c>
      <c r="J115" s="99"/>
      <c r="K115" t="s">
        <v>25</v>
      </c>
      <c r="R115" s="99"/>
      <c r="S115" s="99"/>
      <c r="T115" s="99"/>
      <c r="U115" s="117">
        <v>141800000</v>
      </c>
      <c r="V115" s="117"/>
      <c r="W115" s="117"/>
      <c r="X115" s="99"/>
      <c r="Y115" s="95">
        <f>SUM(Y109:Y113)</f>
        <v>188210957.30000001</v>
      </c>
    </row>
    <row r="116" spans="1:25">
      <c r="A116" s="295"/>
      <c r="B116" s="295"/>
      <c r="C116" s="297">
        <v>1</v>
      </c>
      <c r="D116" s="295"/>
      <c r="E116" s="221"/>
      <c r="F116" s="220">
        <v>1</v>
      </c>
      <c r="G116" s="295">
        <f>C116*D116*0.99025/(F116*1.0046399)</f>
        <v>0</v>
      </c>
      <c r="H116" s="296">
        <f t="shared" si="41"/>
        <v>1</v>
      </c>
      <c r="I116" s="296">
        <f t="shared" si="42"/>
        <v>1</v>
      </c>
      <c r="J116" s="99"/>
      <c r="K116" t="s">
        <v>25</v>
      </c>
    </row>
    <row r="117" spans="1:25">
      <c r="A117" s="87"/>
      <c r="B117" s="99"/>
      <c r="C117" s="113">
        <v>1</v>
      </c>
      <c r="D117" s="87"/>
      <c r="E117" s="99"/>
      <c r="F117" s="113">
        <v>1</v>
      </c>
      <c r="G117" s="295">
        <f t="shared" si="40"/>
        <v>0</v>
      </c>
      <c r="H117" s="296">
        <f t="shared" si="41"/>
        <v>1</v>
      </c>
      <c r="I117" s="296">
        <f t="shared" si="42"/>
        <v>1</v>
      </c>
      <c r="J117" s="99"/>
      <c r="L117" t="s">
        <v>25</v>
      </c>
    </row>
    <row r="118" spans="1:25">
      <c r="D118" t="s">
        <v>25</v>
      </c>
      <c r="G118" t="s">
        <v>25</v>
      </c>
      <c r="W118" t="s">
        <v>5539</v>
      </c>
      <c r="X118" s="114">
        <f>Y102+Y115-U102-U115</f>
        <v>210355527.90000004</v>
      </c>
    </row>
    <row r="120" spans="1:25">
      <c r="G120" s="299">
        <f>H115/H111</f>
        <v>0.87012086195286209</v>
      </c>
      <c r="H120" s="96">
        <f t="shared" ref="H120" si="43">1/G120</f>
        <v>1.1492656293237731</v>
      </c>
    </row>
    <row r="121" spans="1:25">
      <c r="G121" s="300">
        <f>H114/H106</f>
        <v>0.98724926295346371</v>
      </c>
      <c r="H121">
        <f>1/G121</f>
        <v>1.0129154181471769</v>
      </c>
    </row>
    <row r="122" spans="1:25" ht="21">
      <c r="D122" s="283"/>
      <c r="I122" t="s">
        <v>25</v>
      </c>
      <c r="N122" t="s">
        <v>25</v>
      </c>
    </row>
    <row r="123" spans="1:25">
      <c r="E123" s="99" t="s">
        <v>934</v>
      </c>
      <c r="F123" s="99" t="s">
        <v>4233</v>
      </c>
      <c r="G123" s="99" t="s">
        <v>4383</v>
      </c>
      <c r="H123" s="99" t="s">
        <v>934</v>
      </c>
      <c r="I123" t="s">
        <v>5618</v>
      </c>
      <c r="K123" t="s">
        <v>5617</v>
      </c>
    </row>
    <row r="124" spans="1:25">
      <c r="B124" s="96"/>
      <c r="C124" s="96"/>
      <c r="D124" s="96"/>
      <c r="E124" s="99"/>
      <c r="F124" s="99">
        <v>1100</v>
      </c>
      <c r="G124" s="99">
        <v>12494</v>
      </c>
      <c r="H124" s="99">
        <v>32320</v>
      </c>
      <c r="I124" s="96">
        <f>F124/G124</f>
        <v>8.8042260284936766E-2</v>
      </c>
      <c r="J124" s="96" t="s">
        <v>5619</v>
      </c>
      <c r="K124">
        <f>(J125-1.03)*100</f>
        <v>1.0110933774221786</v>
      </c>
      <c r="N124" t="s">
        <v>25</v>
      </c>
      <c r="O124" t="s">
        <v>25</v>
      </c>
    </row>
    <row r="125" spans="1:25">
      <c r="B125" s="96"/>
      <c r="C125" s="96"/>
      <c r="D125" s="96"/>
      <c r="E125" s="99"/>
      <c r="F125" s="99">
        <v>1034.5999999999999</v>
      </c>
      <c r="G125" s="99">
        <v>12840</v>
      </c>
      <c r="H125" s="99"/>
      <c r="I125" s="96">
        <f>F125/G125</f>
        <v>8.0576323987538931E-2</v>
      </c>
      <c r="J125" s="96">
        <f>I124/I126</f>
        <v>1.0401109337742218</v>
      </c>
      <c r="N125" t="s">
        <v>25</v>
      </c>
    </row>
    <row r="126" spans="1:25">
      <c r="B126" s="96"/>
      <c r="C126" s="96"/>
      <c r="D126" s="96"/>
      <c r="E126" s="96"/>
      <c r="F126" s="96">
        <v>1034.2</v>
      </c>
      <c r="G126" s="96">
        <v>12217.8</v>
      </c>
      <c r="H126" s="96"/>
      <c r="I126" s="96">
        <f>F126/G126</f>
        <v>8.4646990456547014E-2</v>
      </c>
      <c r="J126" s="96"/>
    </row>
    <row r="127" spans="1:25">
      <c r="B127" s="96"/>
      <c r="C127" s="96"/>
      <c r="D127" s="96"/>
      <c r="E127" s="96"/>
      <c r="F127" s="96"/>
      <c r="G127" s="96"/>
      <c r="H127" s="96"/>
      <c r="I127" s="96"/>
    </row>
    <row r="128" spans="1:25">
      <c r="B128" s="96"/>
      <c r="C128" s="96"/>
      <c r="D128" s="96"/>
      <c r="E128" s="96"/>
      <c r="F128" s="96"/>
      <c r="G128" s="96"/>
      <c r="H128" s="96"/>
      <c r="I128" s="96">
        <f>I126/I112</f>
        <v>1.0485115026270875</v>
      </c>
      <c r="J128" s="96"/>
    </row>
    <row r="129" spans="2:14">
      <c r="B129" s="96"/>
      <c r="C129" s="96"/>
      <c r="D129" s="96"/>
      <c r="E129" s="96"/>
      <c r="F129" s="96"/>
      <c r="G129" s="96"/>
      <c r="H129" s="96"/>
      <c r="I129" s="96"/>
      <c r="J129" s="96"/>
    </row>
    <row r="130" spans="2:14">
      <c r="B130" s="96"/>
      <c r="C130" s="96"/>
      <c r="D130" s="96"/>
      <c r="E130" s="96"/>
      <c r="F130" s="96"/>
      <c r="G130" s="96"/>
      <c r="H130" s="96"/>
      <c r="I130" s="96"/>
      <c r="J130" s="96"/>
      <c r="N130" t="s">
        <v>25</v>
      </c>
    </row>
    <row r="131" spans="2:14">
      <c r="B131" s="96"/>
      <c r="C131" s="96"/>
      <c r="D131" s="96"/>
      <c r="E131" s="96"/>
      <c r="F131" s="96"/>
      <c r="G131" s="96"/>
      <c r="H131" s="96"/>
      <c r="I131" s="96"/>
      <c r="J131" s="96"/>
    </row>
    <row r="132" spans="2:14">
      <c r="B132" s="96"/>
      <c r="C132" s="96"/>
      <c r="D132" s="96"/>
      <c r="E132" s="96"/>
      <c r="F132" s="96"/>
      <c r="G132" s="96"/>
      <c r="H132" s="96"/>
      <c r="I132" s="96"/>
      <c r="J132" s="96"/>
    </row>
    <row r="133" spans="2:14">
      <c r="B133" s="96"/>
      <c r="C133" s="96"/>
      <c r="D133" s="96"/>
      <c r="E133" s="96"/>
      <c r="F133" s="96"/>
      <c r="G133" s="96"/>
      <c r="H133" s="96"/>
      <c r="I133" s="96"/>
      <c r="J133" s="96"/>
    </row>
    <row r="134" spans="2:14">
      <c r="B134" s="96"/>
      <c r="C134" s="96"/>
      <c r="D134" s="96"/>
      <c r="E134" s="96"/>
      <c r="F134" s="96"/>
      <c r="G134" s="96"/>
      <c r="H134" s="96"/>
      <c r="I134" s="96"/>
      <c r="J134" s="96" t="s">
        <v>25</v>
      </c>
    </row>
    <row r="135" spans="2:14">
      <c r="B135" s="96"/>
      <c r="C135" s="96"/>
      <c r="D135" s="96"/>
      <c r="E135" s="96"/>
      <c r="F135" s="96"/>
      <c r="G135" s="96"/>
      <c r="H135" s="96"/>
      <c r="I135" s="96"/>
      <c r="J135" s="96"/>
    </row>
    <row r="136" spans="2:14">
      <c r="B136" s="96"/>
      <c r="C136" s="96"/>
      <c r="D136" s="96"/>
      <c r="E136" s="96"/>
      <c r="F136" s="96"/>
      <c r="G136" s="96"/>
      <c r="H136" s="96"/>
      <c r="I136" s="96"/>
      <c r="J136" s="96"/>
    </row>
    <row r="137" spans="2:14">
      <c r="B137" s="96"/>
      <c r="C137" s="96"/>
      <c r="D137" s="96"/>
      <c r="E137" s="96"/>
      <c r="F137" s="96"/>
      <c r="G137" s="96"/>
      <c r="H137" s="96"/>
      <c r="I137" s="96"/>
      <c r="J137" s="96"/>
    </row>
    <row r="138" spans="2:14">
      <c r="B138" s="96"/>
      <c r="C138" s="96"/>
      <c r="D138" s="96"/>
      <c r="E138" s="96"/>
      <c r="F138" s="96"/>
      <c r="G138" s="96"/>
      <c r="H138" s="96"/>
      <c r="I138" s="96"/>
      <c r="J138" s="96"/>
    </row>
    <row r="139" spans="2:14">
      <c r="B139" s="96"/>
      <c r="C139" s="96"/>
      <c r="D139" s="96"/>
      <c r="E139" s="96"/>
      <c r="F139" s="96"/>
      <c r="G139" s="96"/>
      <c r="H139" s="96"/>
      <c r="I139" s="96"/>
      <c r="J139" s="96"/>
    </row>
    <row r="145" spans="1:10">
      <c r="I145" t="s">
        <v>25</v>
      </c>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H163" t="s">
        <v>25</v>
      </c>
    </row>
    <row r="164" spans="1:10">
      <c r="H164" t="s">
        <v>25</v>
      </c>
    </row>
    <row r="167" spans="1:10">
      <c r="I167"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J327" zoomScale="85" zoomScaleNormal="85" workbookViewId="0">
      <selection activeCell="Q338" sqref="Q33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5551</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5555</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5557</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5565</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5567</v>
      </c>
      <c r="L326" s="84">
        <v>2819979138</v>
      </c>
      <c r="M326" s="84">
        <v>1401539279</v>
      </c>
      <c r="N326" s="220">
        <f t="shared" si="48"/>
        <v>4221518417</v>
      </c>
      <c r="O326" s="113">
        <f t="shared" si="49"/>
        <v>13084171</v>
      </c>
      <c r="P326" s="113">
        <f t="shared" si="50"/>
        <v>39080100</v>
      </c>
      <c r="Q326" s="229">
        <v>0</v>
      </c>
    </row>
    <row r="327" spans="9:22">
      <c r="I327" s="213" t="s">
        <v>5575</v>
      </c>
      <c r="J327" s="113">
        <f>L327-L326+130382924</f>
        <v>36685298</v>
      </c>
      <c r="K327" s="213" t="s">
        <v>5574</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5569</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5579</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5581</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5588</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5589</v>
      </c>
      <c r="J333" s="188">
        <f>L333-L332-7200000</f>
        <v>-108573535</v>
      </c>
      <c r="K333" s="189" t="s">
        <v>5582</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5597</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5603</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5604</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5616</v>
      </c>
      <c r="L337" s="84">
        <v>3718554339</v>
      </c>
      <c r="M337" s="84">
        <v>1811827994</v>
      </c>
      <c r="N337" s="113">
        <f t="shared" si="51"/>
        <v>5530382333</v>
      </c>
      <c r="O337" s="113">
        <f t="shared" si="52"/>
        <v>-72011048</v>
      </c>
      <c r="P337" s="113">
        <f t="shared" si="53"/>
        <v>-216621154</v>
      </c>
      <c r="Q337" s="229">
        <v>0</v>
      </c>
    </row>
    <row r="338" spans="9:19">
      <c r="I338" s="213"/>
      <c r="J338" s="113">
        <f t="shared" si="44"/>
        <v>-3718554339</v>
      </c>
      <c r="K338" s="213"/>
      <c r="L338" s="84"/>
      <c r="M338" s="84"/>
      <c r="N338" s="113">
        <f t="shared" si="51"/>
        <v>0</v>
      </c>
      <c r="O338" s="113">
        <f t="shared" si="52"/>
        <v>-1811827994</v>
      </c>
      <c r="P338" s="113">
        <f t="shared" si="53"/>
        <v>-5530382333</v>
      </c>
    </row>
    <row r="339" spans="9:19">
      <c r="I339" s="213"/>
      <c r="J339" s="113">
        <f t="shared" si="44"/>
        <v>0</v>
      </c>
      <c r="K339" s="213"/>
      <c r="L339" s="84"/>
      <c r="M339" s="84"/>
      <c r="N339" s="113">
        <f t="shared" si="51"/>
        <v>0</v>
      </c>
      <c r="O339" s="113">
        <f t="shared" si="52"/>
        <v>0</v>
      </c>
      <c r="P339" s="113">
        <f t="shared" si="53"/>
        <v>0</v>
      </c>
    </row>
    <row r="340" spans="9:19">
      <c r="I340" s="213"/>
      <c r="J340" s="113">
        <f t="shared" si="44"/>
        <v>0</v>
      </c>
      <c r="K340" s="213"/>
      <c r="L340" s="84"/>
      <c r="M340" s="84"/>
      <c r="N340" s="113">
        <f t="shared" si="51"/>
        <v>0</v>
      </c>
      <c r="O340" s="113">
        <f t="shared" si="52"/>
        <v>0</v>
      </c>
      <c r="P340" s="113">
        <f t="shared" si="53"/>
        <v>0</v>
      </c>
    </row>
    <row r="341" spans="9:19">
      <c r="I341" s="213"/>
      <c r="J341" s="113">
        <f t="shared" si="44"/>
        <v>0</v>
      </c>
      <c r="K341" s="213"/>
      <c r="L341" s="84"/>
      <c r="M341" s="84"/>
      <c r="N341" s="113">
        <f t="shared" si="51"/>
        <v>0</v>
      </c>
      <c r="O341" s="113">
        <f t="shared" si="52"/>
        <v>0</v>
      </c>
      <c r="P341" s="113">
        <f t="shared" si="53"/>
        <v>0</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5429</v>
      </c>
      <c r="C52" s="284" t="s">
        <v>5430</v>
      </c>
      <c r="D52" s="284" t="s">
        <v>5431</v>
      </c>
      <c r="E52" s="284" t="s">
        <v>4263</v>
      </c>
      <c r="F52" s="284" t="s">
        <v>5432</v>
      </c>
      <c r="G52" s="284" t="s">
        <v>5433</v>
      </c>
      <c r="H52" s="284" t="s">
        <v>5434</v>
      </c>
      <c r="I52" s="284" t="s">
        <v>5435</v>
      </c>
      <c r="J52" s="284" t="s">
        <v>5436</v>
      </c>
      <c r="K52" s="284" t="s">
        <v>5437</v>
      </c>
      <c r="L52" s="284" t="s">
        <v>5438</v>
      </c>
      <c r="M52" s="284" t="s">
        <v>5439</v>
      </c>
      <c r="N52" s="284" t="s">
        <v>5440</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5400</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5394</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5382</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5373</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5411</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5429</v>
      </c>
      <c r="C64" s="284" t="s">
        <v>5430</v>
      </c>
      <c r="D64" s="284" t="s">
        <v>5431</v>
      </c>
      <c r="E64" s="284" t="s">
        <v>4263</v>
      </c>
      <c r="F64" s="284" t="s">
        <v>5432</v>
      </c>
      <c r="G64" s="284" t="s">
        <v>5433</v>
      </c>
      <c r="H64" s="284" t="s">
        <v>5434</v>
      </c>
      <c r="I64" s="284" t="s">
        <v>5435</v>
      </c>
      <c r="J64" s="284" t="s">
        <v>5436</v>
      </c>
      <c r="K64" s="284" t="s">
        <v>5437</v>
      </c>
      <c r="L64" s="284" t="s">
        <v>5438</v>
      </c>
      <c r="M64" s="284" t="s">
        <v>5439</v>
      </c>
      <c r="N64" s="284" t="s">
        <v>5440</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5400</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5382</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5373</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5411</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5312</v>
      </c>
      <c r="AA21" t="s">
        <v>5049</v>
      </c>
    </row>
    <row r="22" spans="5:35">
      <c r="O22" s="99"/>
      <c r="P22" s="99"/>
      <c r="Q22" s="304"/>
      <c r="R22" s="304"/>
      <c r="S22" s="304"/>
      <c r="T22" s="304"/>
      <c r="U22" s="96"/>
      <c r="V22" s="96"/>
      <c r="W22" s="41" t="s">
        <v>5122</v>
      </c>
      <c r="X22" s="41">
        <v>9909620343</v>
      </c>
      <c r="Y22" s="41">
        <v>200</v>
      </c>
      <c r="Z22" s="41" t="s">
        <v>5313</v>
      </c>
      <c r="AA22" t="s">
        <v>5316</v>
      </c>
      <c r="AB22" s="41" t="s">
        <v>5324</v>
      </c>
    </row>
    <row r="23" spans="5:35" ht="15.75">
      <c r="O23" s="178"/>
      <c r="P23" s="99" t="s">
        <v>4082</v>
      </c>
      <c r="Q23" s="305" t="s">
        <v>1086</v>
      </c>
      <c r="R23" s="306" t="s">
        <v>1087</v>
      </c>
      <c r="S23" s="305" t="s">
        <v>1088</v>
      </c>
      <c r="T23" s="307" t="s">
        <v>1089</v>
      </c>
      <c r="W23" s="41" t="s">
        <v>5123</v>
      </c>
      <c r="X23" s="41">
        <v>9378807702</v>
      </c>
      <c r="Y23" s="41">
        <v>0</v>
      </c>
      <c r="Z23" s="41">
        <v>0</v>
      </c>
      <c r="AD23" t="s">
        <v>25</v>
      </c>
    </row>
    <row r="24" spans="5:35">
      <c r="O24" s="99"/>
      <c r="P24" s="99"/>
      <c r="Q24" s="305"/>
      <c r="R24" s="306"/>
      <c r="S24" s="305"/>
      <c r="T24" s="307"/>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2020-05-11T09:59:04Z</dcterms:modified>
</cp:coreProperties>
</file>