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AJ206" i="18" l="1"/>
  <c r="D78" i="52" l="1"/>
  <c r="P148" i="18"/>
  <c r="W208" i="18"/>
  <c r="D74" i="57"/>
  <c r="AC54" i="52" l="1"/>
  <c r="AC51" i="52"/>
  <c r="AD46" i="52"/>
  <c r="AE46" i="52"/>
  <c r="P70" i="52"/>
  <c r="G46" i="10"/>
  <c r="D331" i="20" l="1"/>
  <c r="B341" i="20" l="1"/>
  <c r="D330" i="20"/>
  <c r="AJ148" i="18" l="1"/>
  <c r="W207" i="18" l="1"/>
  <c r="W206" i="18"/>
  <c r="D329" i="20" l="1"/>
  <c r="M41" i="52" l="1"/>
  <c r="AD45" i="52"/>
  <c r="AE45" i="52"/>
  <c r="AD44" i="52"/>
  <c r="AE44" i="52"/>
  <c r="Z41" i="52" l="1"/>
  <c r="AD41" i="52"/>
  <c r="AE41" i="52"/>
  <c r="D328" i="20" l="1"/>
  <c r="D327" i="20"/>
  <c r="AD43" i="52" l="1"/>
  <c r="Z43" i="52"/>
  <c r="AE4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N82" i="52"/>
  <c r="N83" i="52"/>
  <c r="N84" i="52"/>
  <c r="P84" i="52" s="1"/>
  <c r="N85" i="52"/>
  <c r="P85" i="52" s="1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3" i="52"/>
  <c r="J84" i="52"/>
  <c r="J85" i="52"/>
  <c r="J86" i="52"/>
  <c r="J87" i="52"/>
  <c r="J88" i="52"/>
  <c r="J89" i="52"/>
  <c r="J90" i="52"/>
  <c r="P81" i="52" l="1"/>
  <c r="P79" i="52"/>
  <c r="P80" i="52"/>
  <c r="P90" i="52"/>
  <c r="P86" i="52"/>
  <c r="P82" i="52"/>
  <c r="P78" i="52"/>
  <c r="P77" i="52"/>
  <c r="P76" i="52"/>
  <c r="P75" i="52"/>
  <c r="P87" i="52"/>
  <c r="P83" i="52"/>
  <c r="Z42" i="52" l="1"/>
  <c r="AD42" i="52"/>
  <c r="AE42" i="52"/>
  <c r="N52" i="18"/>
  <c r="M111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G339" i="20"/>
  <c r="I339" i="20" s="1"/>
  <c r="H339" i="20"/>
  <c r="D324" i="20"/>
  <c r="D323" i="20"/>
  <c r="D322" i="20"/>
  <c r="D321" i="20"/>
  <c r="G338" i="20" l="1"/>
  <c r="K339" i="20"/>
  <c r="J339" i="20"/>
  <c r="I338" i="20" l="1"/>
  <c r="J338" i="20"/>
  <c r="G337" i="20"/>
  <c r="K338" i="20"/>
  <c r="D320" i="20"/>
  <c r="D319" i="20"/>
  <c r="G336" i="20" l="1"/>
  <c r="J337" i="20"/>
  <c r="K337" i="20"/>
  <c r="I337" i="20"/>
  <c r="D318" i="20"/>
  <c r="D317" i="20"/>
  <c r="G335" i="20" l="1"/>
  <c r="J336" i="20"/>
  <c r="K336" i="20"/>
  <c r="I336" i="20"/>
  <c r="I335" i="20" l="1"/>
  <c r="G334" i="20"/>
  <c r="J335" i="20"/>
  <c r="K335" i="20"/>
  <c r="W205" i="18"/>
  <c r="W204" i="18"/>
  <c r="G125" i="18"/>
  <c r="J125" i="18" s="1"/>
  <c r="G124" i="18"/>
  <c r="J124" i="18" s="1"/>
  <c r="G123" i="18"/>
  <c r="J123" i="18" s="1"/>
  <c r="G122" i="18"/>
  <c r="J122" i="18" s="1"/>
  <c r="I334" i="20" l="1"/>
  <c r="G333" i="20"/>
  <c r="J334" i="20"/>
  <c r="K334" i="20"/>
  <c r="J126" i="18"/>
  <c r="Z40" i="52"/>
  <c r="Z39" i="52"/>
  <c r="Z38" i="52"/>
  <c r="AD38" i="52"/>
  <c r="AD39" i="52"/>
  <c r="AD40" i="52"/>
  <c r="AE40" i="52"/>
  <c r="AE39" i="52"/>
  <c r="AE38" i="52"/>
  <c r="I333" i="20" l="1"/>
  <c r="G332" i="20"/>
  <c r="J333" i="20"/>
  <c r="K333" i="20"/>
  <c r="R166" i="18"/>
  <c r="R188" i="18"/>
  <c r="O69" i="52"/>
  <c r="O70" i="52"/>
  <c r="O71" i="52"/>
  <c r="O72" i="52"/>
  <c r="O73" i="52"/>
  <c r="O91" i="52"/>
  <c r="O68" i="52"/>
  <c r="J91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1" i="52" l="1"/>
  <c r="P69" i="52"/>
  <c r="P73" i="52"/>
  <c r="P91" i="52"/>
  <c r="P72" i="52"/>
  <c r="K332" i="20"/>
  <c r="I332" i="20"/>
  <c r="G331" i="20"/>
  <c r="J332" i="20"/>
  <c r="W203" i="18"/>
  <c r="W202" i="18"/>
  <c r="Y214" i="18"/>
  <c r="M48" i="52"/>
  <c r="L36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I331" i="20" l="1"/>
  <c r="G330" i="20"/>
  <c r="J331" i="20"/>
  <c r="K331" i="20"/>
  <c r="C24" i="56"/>
  <c r="B24" i="56"/>
  <c r="I330" i="20" l="1"/>
  <c r="G329" i="20"/>
  <c r="J330" i="20"/>
  <c r="K330" i="20"/>
  <c r="R216" i="18"/>
  <c r="R244" i="18"/>
  <c r="W201" i="18"/>
  <c r="W200" i="18"/>
  <c r="N34" i="52"/>
  <c r="N33" i="52"/>
  <c r="P42" i="52"/>
  <c r="X220" i="18"/>
  <c r="G328" i="20" l="1"/>
  <c r="J329" i="20"/>
  <c r="K329" i="20"/>
  <c r="I329" i="20"/>
  <c r="AR14" i="18"/>
  <c r="I328" i="20" l="1"/>
  <c r="G327" i="20"/>
  <c r="J328" i="20"/>
  <c r="K328" i="20"/>
  <c r="D316" i="20"/>
  <c r="I327" i="20" l="1"/>
  <c r="G326" i="20"/>
  <c r="J327" i="20"/>
  <c r="K327" i="20"/>
  <c r="C2" i="57"/>
  <c r="C32" i="57" s="1"/>
  <c r="B2" i="57"/>
  <c r="L22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D2" i="57" l="1"/>
  <c r="B32" i="57"/>
  <c r="I326" i="20"/>
  <c r="G325" i="20"/>
  <c r="J326" i="20"/>
  <c r="K326" i="20"/>
  <c r="H33" i="57"/>
  <c r="G33" i="57"/>
  <c r="D315" i="20"/>
  <c r="D314" i="20"/>
  <c r="I325" i="20" l="1"/>
  <c r="G324" i="20"/>
  <c r="J325" i="20"/>
  <c r="K325" i="20"/>
  <c r="H38" i="57"/>
  <c r="I2" i="57"/>
  <c r="I33" i="57" s="1"/>
  <c r="I38" i="57" s="1"/>
  <c r="D32" i="57"/>
  <c r="Z26" i="52"/>
  <c r="AD32" i="52"/>
  <c r="Z32" i="52"/>
  <c r="AE32" i="52"/>
  <c r="K324" i="20" l="1"/>
  <c r="I324" i="20"/>
  <c r="G323" i="20"/>
  <c r="J324" i="20"/>
  <c r="W199" i="18"/>
  <c r="W198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I323" i="20" l="1"/>
  <c r="G322" i="20"/>
  <c r="J323" i="20"/>
  <c r="K323" i="20"/>
  <c r="AL201" i="18"/>
  <c r="AM201" i="18" s="1"/>
  <c r="AL200" i="18"/>
  <c r="AM200" i="18" s="1"/>
  <c r="AL202" i="18"/>
  <c r="AL199" i="18" s="1"/>
  <c r="AM199" i="18" s="1"/>
  <c r="U212" i="18"/>
  <c r="W197" i="18"/>
  <c r="W196" i="18"/>
  <c r="N30" i="52"/>
  <c r="N29" i="52"/>
  <c r="AD27" i="52"/>
  <c r="Z27" i="52"/>
  <c r="AE27" i="52"/>
  <c r="I322" i="20" l="1"/>
  <c r="G321" i="20"/>
  <c r="J322" i="20"/>
  <c r="K322" i="20"/>
  <c r="AM202" i="18"/>
  <c r="W195" i="18"/>
  <c r="W194" i="18"/>
  <c r="L47" i="52"/>
  <c r="N28" i="52"/>
  <c r="N27" i="52"/>
  <c r="G320" i="20" l="1"/>
  <c r="J321" i="20"/>
  <c r="K321" i="20"/>
  <c r="I321" i="20"/>
  <c r="AD26" i="52"/>
  <c r="AE26" i="52"/>
  <c r="N38" i="18"/>
  <c r="I320" i="20" l="1"/>
  <c r="J320" i="20"/>
  <c r="K320" i="20"/>
  <c r="D313" i="20"/>
  <c r="L115" i="18" l="1"/>
  <c r="L110" i="18" l="1"/>
  <c r="L111" i="18"/>
  <c r="N111" i="18" s="1"/>
  <c r="M115" i="18"/>
  <c r="L104" i="18"/>
  <c r="W193" i="18"/>
  <c r="W192" i="18"/>
  <c r="N24" i="52"/>
  <c r="N26" i="52"/>
  <c r="N25" i="52"/>
  <c r="T228" i="18" l="1"/>
  <c r="N65" i="18"/>
  <c r="K114" i="18"/>
  <c r="L106" i="18"/>
  <c r="Z25" i="52"/>
  <c r="AD25" i="52"/>
  <c r="AE25" i="52"/>
  <c r="D312" i="20"/>
  <c r="D311" i="20"/>
  <c r="D310" i="20"/>
  <c r="H340" i="20"/>
  <c r="G340" i="20"/>
  <c r="H319" i="20"/>
  <c r="H318" i="20"/>
  <c r="H317" i="20"/>
  <c r="H316" i="20"/>
  <c r="H315" i="20"/>
  <c r="H314" i="20"/>
  <c r="H313" i="20"/>
  <c r="H312" i="20"/>
  <c r="H311" i="20"/>
  <c r="H310" i="20"/>
  <c r="H309" i="20"/>
  <c r="I340" i="20" l="1"/>
  <c r="J340" i="20"/>
  <c r="W191" i="18"/>
  <c r="W190" i="18"/>
  <c r="N23" i="52"/>
  <c r="N22" i="52"/>
  <c r="Z24" i="52"/>
  <c r="AD24" i="52"/>
  <c r="AE24" i="52"/>
  <c r="AL198" i="18" l="1"/>
  <c r="W189" i="18"/>
  <c r="W188" i="18"/>
  <c r="N21" i="52"/>
  <c r="N20" i="52"/>
  <c r="AM198" i="18" l="1"/>
  <c r="AL197" i="18"/>
  <c r="D309" i="20"/>
  <c r="AL196" i="18" l="1"/>
  <c r="AM197" i="18"/>
  <c r="D308" i="20"/>
  <c r="AM196" i="18" l="1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6" i="18" l="1"/>
  <c r="G319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3" i="18"/>
  <c r="I319" i="20" l="1"/>
  <c r="K319" i="20"/>
  <c r="J319" i="20"/>
  <c r="G318" i="20"/>
  <c r="W187" i="18"/>
  <c r="W186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9" i="18"/>
  <c r="F109" i="18" s="1"/>
  <c r="G108" i="18"/>
  <c r="F108" i="18" s="1"/>
  <c r="G107" i="18"/>
  <c r="F107" i="18" s="1"/>
  <c r="G106" i="18"/>
  <c r="F106" i="18" s="1"/>
  <c r="G105" i="18"/>
  <c r="F105" i="18" s="1"/>
  <c r="G104" i="18"/>
  <c r="F104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5" i="18"/>
  <c r="W184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5" i="18"/>
  <c r="L107" i="18"/>
  <c r="L108" i="18"/>
  <c r="L109" i="18"/>
  <c r="L112" i="18"/>
  <c r="I311" i="20" l="1"/>
  <c r="K311" i="20"/>
  <c r="J311" i="20"/>
  <c r="G310" i="20"/>
  <c r="W183" i="18"/>
  <c r="W182" i="18"/>
  <c r="D303" i="20"/>
  <c r="D302" i="20"/>
  <c r="W181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41" i="20"/>
  <c r="D297" i="20"/>
  <c r="W179" i="18" l="1"/>
  <c r="N51" i="18"/>
  <c r="M110" i="18" s="1"/>
  <c r="N110" i="18" s="1"/>
  <c r="N49" i="18"/>
  <c r="M109" i="18" s="1"/>
  <c r="N109" i="18" l="1"/>
  <c r="AD14" i="52"/>
  <c r="AE14" i="52"/>
  <c r="AD13" i="52"/>
  <c r="AE13" i="52"/>
  <c r="Z14" i="52"/>
  <c r="D296" i="20"/>
  <c r="D295" i="20"/>
  <c r="W178" i="18" l="1"/>
  <c r="W177" i="18"/>
  <c r="L11" i="52"/>
  <c r="L10" i="52"/>
  <c r="AL193" i="18"/>
  <c r="AL192" i="18" s="1"/>
  <c r="AL191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6" i="18"/>
  <c r="W175" i="18"/>
  <c r="H38" i="55" l="1"/>
  <c r="I2" i="55"/>
  <c r="I33" i="55" s="1"/>
  <c r="I38" i="55" s="1"/>
  <c r="D32" i="55"/>
  <c r="D293" i="20"/>
  <c r="W174" i="18" l="1"/>
  <c r="N50" i="18"/>
  <c r="M108" i="18" s="1"/>
  <c r="N54" i="18"/>
  <c r="N108" i="18" l="1"/>
  <c r="D292" i="20"/>
  <c r="C8" i="36"/>
  <c r="W173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2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1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3" i="18"/>
  <c r="D281" i="20" l="1"/>
  <c r="D280" i="20" l="1"/>
  <c r="AD5" i="52" l="1"/>
  <c r="B38" i="52"/>
  <c r="D279" i="20"/>
  <c r="W148" i="18" l="1"/>
  <c r="W171" i="18"/>
  <c r="D278" i="20"/>
  <c r="W150" i="18" l="1"/>
  <c r="W149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3" i="18"/>
  <c r="S142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12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22" i="18"/>
  <c r="N123" i="18"/>
  <c r="N124" i="18"/>
  <c r="N125" i="18"/>
  <c r="N126" i="18"/>
  <c r="N127" i="18"/>
  <c r="N128" i="18"/>
  <c r="N129" i="18"/>
  <c r="N121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70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9" i="18"/>
  <c r="AM124" i="18" l="1"/>
  <c r="AL123" i="18"/>
  <c r="AM123" i="18" l="1"/>
  <c r="AL122" i="18"/>
  <c r="AL121" i="18" l="1"/>
  <c r="AM122" i="18"/>
  <c r="W163" i="18"/>
  <c r="W164" i="18"/>
  <c r="W165" i="18"/>
  <c r="W166" i="18"/>
  <c r="W167" i="18"/>
  <c r="W168" i="18"/>
  <c r="W180" i="18"/>
  <c r="W162" i="18"/>
  <c r="AM121" i="18" l="1"/>
  <c r="AL120" i="18"/>
  <c r="N56" i="18"/>
  <c r="AM120" i="18" l="1"/>
  <c r="AL119" i="18"/>
  <c r="AM119" i="18" l="1"/>
  <c r="AL118" i="18"/>
  <c r="T146" i="18"/>
  <c r="S52" i="18"/>
  <c r="S53" i="18" s="1"/>
  <c r="S54" i="18" s="1"/>
  <c r="R167" i="18"/>
  <c r="R165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4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7" i="18" s="1"/>
  <c r="N107" i="18" l="1"/>
  <c r="AM112" i="18"/>
  <c r="AL111" i="18"/>
  <c r="D108" i="50"/>
  <c r="AL110" i="18" l="1"/>
  <c r="AM111" i="18"/>
  <c r="N47" i="18"/>
  <c r="AL109" i="18" l="1"/>
  <c r="AM110" i="18"/>
  <c r="N106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12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1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5" i="18" s="1"/>
  <c r="AL99" i="18" l="1"/>
  <c r="AM100" i="18"/>
  <c r="N105" i="18"/>
  <c r="AL183" i="18"/>
  <c r="AM184" i="18"/>
  <c r="AM99" i="18" l="1"/>
  <c r="AL98" i="18"/>
  <c r="AL182" i="18"/>
  <c r="AM183" i="18"/>
  <c r="P61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l="1"/>
  <c r="AJ210" i="18"/>
  <c r="AJ211" i="18" s="1"/>
  <c r="R163" i="18"/>
  <c r="AM94" i="18"/>
  <c r="AL93" i="18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40" i="20"/>
  <c r="K340" i="20" s="1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1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5" i="18"/>
  <c r="Q138" i="18" s="1"/>
  <c r="AJ154" i="18" l="1"/>
  <c r="AJ155" i="18" s="1"/>
  <c r="R162" i="18"/>
  <c r="R172" i="18" s="1"/>
  <c r="M104" i="18"/>
  <c r="N104" i="18" s="1"/>
  <c r="N115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L74" i="18"/>
  <c r="AM75" i="18"/>
  <c r="U228" i="18" l="1"/>
  <c r="T215" i="18"/>
  <c r="G304" i="20"/>
  <c r="I305" i="20"/>
  <c r="K305" i="20"/>
  <c r="J305" i="20"/>
  <c r="S112" i="18"/>
  <c r="AL73" i="18"/>
  <c r="AM74" i="18"/>
  <c r="N87" i="18"/>
  <c r="V45" i="18" l="1"/>
  <c r="V44" i="18"/>
  <c r="V43" i="18"/>
  <c r="V39" i="18"/>
  <c r="X39" i="18" s="1"/>
  <c r="V42" i="18"/>
  <c r="V41" i="18"/>
  <c r="V40" i="18"/>
  <c r="V38" i="18"/>
  <c r="V37" i="18"/>
  <c r="S113" i="18"/>
  <c r="S114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8" i="18"/>
  <c r="V228" i="18"/>
  <c r="V31" i="18"/>
  <c r="W31" i="18" s="1"/>
  <c r="V59" i="18"/>
  <c r="V112" i="18"/>
  <c r="V110" i="18"/>
  <c r="V109" i="18"/>
  <c r="V108" i="18"/>
  <c r="V111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7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39" i="18" l="1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3" i="18"/>
  <c r="X113" i="18" s="1"/>
  <c r="S115" i="18"/>
  <c r="V114" i="18"/>
  <c r="W114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50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1" i="18"/>
  <c r="W111" i="18"/>
  <c r="W109" i="18"/>
  <c r="X109" i="18"/>
  <c r="W112" i="18"/>
  <c r="X112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7" i="18"/>
  <c r="X137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9" i="18"/>
  <c r="N34" i="18" s="1"/>
  <c r="S148" i="18"/>
  <c r="U148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3" i="18" l="1"/>
  <c r="X114" i="18"/>
  <c r="S116" i="18"/>
  <c r="V115" i="18"/>
  <c r="N64" i="18"/>
  <c r="U150" i="18"/>
  <c r="L21" i="18"/>
  <c r="G301" i="20"/>
  <c r="I302" i="20"/>
  <c r="K302" i="20"/>
  <c r="J302" i="20"/>
  <c r="U149" i="18"/>
  <c r="V149" i="18" s="1"/>
  <c r="AL70" i="18"/>
  <c r="AM71" i="18"/>
  <c r="X115" i="18" l="1"/>
  <c r="W115" i="18"/>
  <c r="S117" i="18"/>
  <c r="V116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6" i="18" l="1"/>
  <c r="X116" i="18"/>
  <c r="S118" i="18"/>
  <c r="S119" i="18" s="1"/>
  <c r="V117" i="18"/>
  <c r="G299" i="20"/>
  <c r="I300" i="20"/>
  <c r="K300" i="20"/>
  <c r="J300" i="20"/>
  <c r="AL68" i="18"/>
  <c r="AM69" i="18"/>
  <c r="N2" i="33"/>
  <c r="W117" i="18" l="1"/>
  <c r="X117" i="18"/>
  <c r="V118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8" i="18" l="1"/>
  <c r="W118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S120" i="18"/>
  <c r="V119" i="18"/>
  <c r="I297" i="20"/>
  <c r="K297" i="20"/>
  <c r="J297" i="20"/>
  <c r="G296" i="20"/>
  <c r="AL65" i="18"/>
  <c r="AM66" i="18"/>
  <c r="E48" i="14"/>
  <c r="G48" i="14" s="1"/>
  <c r="X119" i="18" l="1"/>
  <c r="W119" i="18"/>
  <c r="S121" i="18"/>
  <c r="V120" i="18"/>
  <c r="G295" i="20"/>
  <c r="K296" i="20"/>
  <c r="I296" i="20"/>
  <c r="J296" i="20"/>
  <c r="AL64" i="18"/>
  <c r="AM65" i="18"/>
  <c r="E44" i="14"/>
  <c r="G44" i="14" s="1"/>
  <c r="W120" i="18" l="1"/>
  <c r="X120" i="18"/>
  <c r="S122" i="18"/>
  <c r="V121" i="18"/>
  <c r="G294" i="20"/>
  <c r="K295" i="20"/>
  <c r="J295" i="20"/>
  <c r="I295" i="20"/>
  <c r="AM64" i="18"/>
  <c r="AL63" i="18"/>
  <c r="E43" i="14"/>
  <c r="G43" i="14" s="1"/>
  <c r="W121" i="18" l="1"/>
  <c r="X121" i="18"/>
  <c r="V122" i="18"/>
  <c r="S123" i="18"/>
  <c r="G293" i="20"/>
  <c r="I294" i="20"/>
  <c r="J294" i="20"/>
  <c r="K294" i="20"/>
  <c r="AL62" i="18"/>
  <c r="AM63" i="18"/>
  <c r="E42" i="14"/>
  <c r="G42" i="14" s="1"/>
  <c r="S124" i="18" l="1"/>
  <c r="S125" i="18" s="1"/>
  <c r="V123" i="18"/>
  <c r="W122" i="18"/>
  <c r="X122" i="18"/>
  <c r="G292" i="20"/>
  <c r="K293" i="20"/>
  <c r="J293" i="20"/>
  <c r="I293" i="20"/>
  <c r="AL61" i="18"/>
  <c r="AM62" i="18"/>
  <c r="E41" i="14"/>
  <c r="G41" i="14" s="1"/>
  <c r="V124" i="18" l="1"/>
  <c r="X124" i="18" s="1"/>
  <c r="X123" i="18"/>
  <c r="W123" i="18"/>
  <c r="J292" i="20"/>
  <c r="I292" i="20"/>
  <c r="G291" i="20"/>
  <c r="K292" i="20"/>
  <c r="AM61" i="18"/>
  <c r="AL60" i="18"/>
  <c r="E40" i="14"/>
  <c r="G40" i="14" s="1"/>
  <c r="W124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5" i="18" l="1"/>
  <c r="W125" i="18" s="1"/>
  <c r="S126" i="18"/>
  <c r="J290" i="20"/>
  <c r="G289" i="20"/>
  <c r="I290" i="20"/>
  <c r="K290" i="20"/>
  <c r="AM59" i="18"/>
  <c r="AL58" i="18"/>
  <c r="E38" i="14"/>
  <c r="G38" i="14" s="1"/>
  <c r="X125" i="18" l="1"/>
  <c r="S127" i="18"/>
  <c r="S128" i="18" s="1"/>
  <c r="S129" i="18" s="1"/>
  <c r="S130" i="18" s="1"/>
  <c r="S131" i="18" s="1"/>
  <c r="V126" i="18"/>
  <c r="G288" i="20"/>
  <c r="K289" i="20"/>
  <c r="J289" i="20"/>
  <c r="I289" i="20"/>
  <c r="AL57" i="18"/>
  <c r="AM58" i="18"/>
  <c r="E37" i="14"/>
  <c r="G37" i="14" s="1"/>
  <c r="V129" i="18" l="1"/>
  <c r="W126" i="18"/>
  <c r="X126" i="18"/>
  <c r="V127" i="18"/>
  <c r="J288" i="20"/>
  <c r="K288" i="20"/>
  <c r="G287" i="20"/>
  <c r="I288" i="20"/>
  <c r="AL56" i="18"/>
  <c r="AM57" i="18"/>
  <c r="E36" i="14"/>
  <c r="G36" i="14" s="1"/>
  <c r="B105" i="13"/>
  <c r="W129" i="18" l="1"/>
  <c r="X129" i="18"/>
  <c r="W127" i="18"/>
  <c r="X127" i="18"/>
  <c r="V128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28" i="18" l="1"/>
  <c r="X128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30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30" i="18" l="1"/>
  <c r="X130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31" i="18" l="1"/>
  <c r="W131" i="18" s="1"/>
  <c r="S132" i="18"/>
  <c r="S133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S134" i="18" l="1"/>
  <c r="V134" i="18" s="1"/>
  <c r="V133" i="18"/>
  <c r="X131" i="18"/>
  <c r="V132" i="18"/>
  <c r="K280" i="20"/>
  <c r="G279" i="20"/>
  <c r="J280" i="20"/>
  <c r="I280" i="20"/>
  <c r="AL48" i="18"/>
  <c r="AM49" i="18"/>
  <c r="E30" i="14"/>
  <c r="G31" i="14"/>
  <c r="E248" i="15"/>
  <c r="W133" i="18" l="1"/>
  <c r="X133" i="18"/>
  <c r="W134" i="18"/>
  <c r="X134" i="18"/>
  <c r="W132" i="18"/>
  <c r="X132" i="18"/>
  <c r="J279" i="20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48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4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67" i="18" s="1"/>
  <c r="D34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8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7" i="18" l="1"/>
  <c r="F24" i="18" s="1"/>
  <c r="G113" i="20"/>
  <c r="J114" i="20"/>
  <c r="I114" i="20"/>
  <c r="K114" i="20"/>
  <c r="L68" i="18"/>
  <c r="E33" i="13"/>
  <c r="G34" i="13"/>
  <c r="F108" i="15"/>
  <c r="C20" i="18"/>
  <c r="G20" i="14"/>
  <c r="G21" i="14"/>
  <c r="G112" i="20" l="1"/>
  <c r="K113" i="20"/>
  <c r="J113" i="20"/>
  <c r="I113" i="20"/>
  <c r="L69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8" i="18"/>
  <c r="V150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41" i="20" s="1"/>
  <c r="I2" i="20"/>
  <c r="I341" i="20" s="1"/>
  <c r="I344" i="20" s="1"/>
  <c r="J2" i="20"/>
  <c r="J341" i="20" s="1"/>
  <c r="J344" i="20" l="1"/>
  <c r="J348" i="20"/>
  <c r="K344" i="20"/>
  <c r="K348" i="20"/>
</calcChain>
</file>

<file path=xl/sharedStrings.xml><?xml version="1.0" encoding="utf-8"?>
<sst xmlns="http://schemas.openxmlformats.org/spreadsheetml/2006/main" count="11219" uniqueCount="4920">
  <si>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</si>
  <si>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</si>
  <si>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</si>
  <si>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</si>
  <si>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</si>
  <si>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</si>
  <si>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</si>
  <si>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</si>
  <si>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</si>
  <si>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</si>
  <si>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</si>
  <si>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</si>
  <si>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</si>
  <si>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</si>
  <si>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</si>
  <si>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</si>
  <si>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</si>
  <si>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</si>
  <si>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</si>
  <si>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</si>
  <si>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</si>
  <si>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</si>
  <si>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</si>
  <si>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</si>
  <si>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</si>
  <si>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</si>
  <si>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</si>
  <si>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</si>
  <si>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</si>
  <si>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</si>
  <si>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</si>
  <si>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</si>
  <si>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</si>
  <si>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</si>
  <si>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</si>
  <si>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</si>
  <si>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</si>
  <si>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</si>
  <si>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</si>
  <si>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</si>
  <si>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</si>
  <si>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</si>
  <si>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</si>
  <si>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</si>
  <si>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</si>
  <si>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</si>
  <si>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</si>
  <si>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</si>
  <si>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</si>
  <si>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</si>
  <si>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</si>
  <si>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</si>
  <si>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</si>
  <si>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</si>
  <si>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</si>
  <si>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</si>
  <si>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</si>
  <si>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</si>
  <si>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</si>
  <si>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</si>
  <si>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</si>
  <si>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</si>
  <si>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</si>
  <si>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</si>
  <si>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</si>
  <si>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</si>
  <si>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</si>
  <si>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</si>
  <si>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</si>
  <si>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</si>
  <si>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</si>
  <si>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</si>
  <si>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</si>
  <si>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</si>
  <si>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</si>
  <si>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</si>
  <si>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</si>
  <si>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</si>
  <si>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</si>
  <si>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</si>
  <si>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</si>
  <si>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</si>
  <si>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</si>
  <si>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</si>
  <si>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</si>
  <si>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</si>
  <si>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</si>
  <si>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</si>
  <si>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</si>
  <si>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</si>
  <si>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</si>
  <si>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</si>
  <si>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</si>
  <si>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</si>
  <si>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</si>
  <si>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</si>
  <si>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</si>
  <si>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</si>
  <si>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</si>
  <si>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</si>
  <si>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</si>
  <si>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</si>
  <si>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</si>
  <si>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</si>
  <si>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</si>
  <si>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</si>
  <si>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</si>
  <si>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</si>
  <si>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</si>
  <si>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</si>
  <si>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</si>
  <si>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</si>
  <si>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</si>
  <si>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</si>
  <si>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</si>
  <si>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</si>
  <si>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</si>
  <si>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</si>
  <si>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</si>
  <si>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</si>
  <si>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</si>
  <si>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</si>
  <si>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</si>
  <si>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</si>
  <si>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</si>
  <si>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</si>
  <si>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</si>
  <si>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</si>
  <si>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</si>
  <si>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</si>
  <si>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</si>
  <si>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</si>
  <si>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</si>
  <si>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</si>
  <si>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</si>
  <si>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</si>
  <si>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</si>
  <si>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</si>
  <si>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</si>
  <si>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</si>
  <si>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</si>
  <si>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</si>
  <si>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</si>
  <si>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</si>
  <si>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</si>
  <si>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</si>
  <si>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</si>
  <si>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</si>
  <si>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</si>
  <si>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</si>
  <si>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</si>
  <si>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</si>
  <si>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</si>
  <si>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</si>
  <si>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</si>
  <si>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</si>
  <si>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</si>
  <si>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</si>
  <si>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</si>
  <si>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</si>
  <si>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</si>
  <si>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</si>
  <si>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</si>
  <si>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</si>
  <si>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</si>
  <si>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</si>
  <si>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</si>
  <si>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</si>
  <si>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</si>
  <si>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</si>
  <si>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</si>
  <si>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</si>
  <si>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</si>
  <si>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</si>
  <si>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</si>
  <si>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</si>
  <si>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</si>
  <si>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</si>
  <si>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</si>
  <si>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</si>
  <si>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</si>
  <si>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</si>
  <si>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</si>
  <si>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</si>
  <si>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</si>
  <si>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</si>
  <si>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</si>
  <si>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</si>
  <si>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</si>
  <si>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</si>
  <si>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</si>
  <si>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</si>
  <si>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</si>
  <si>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</si>
  <si>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</si>
  <si>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</si>
  <si>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</si>
  <si>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</si>
  <si>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</si>
  <si>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</si>
  <si>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</si>
  <si>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</si>
  <si>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</si>
  <si>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</si>
  <si>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</si>
  <si>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</si>
  <si>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</si>
  <si>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</si>
  <si>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</si>
  <si>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</si>
  <si>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</si>
  <si>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</si>
  <si>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</si>
  <si>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</si>
  <si>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</si>
  <si>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</si>
  <si>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</si>
  <si>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</si>
  <si>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</si>
  <si>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</si>
  <si>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</si>
  <si>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</si>
  <si>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</si>
  <si>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</si>
  <si>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</si>
  <si>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</si>
  <si>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</si>
  <si>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</si>
  <si>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</si>
  <si>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</si>
  <si>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</si>
  <si>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</si>
  <si>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</si>
  <si>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</si>
  <si>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</si>
  <si>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</si>
  <si>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</si>
  <si>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</si>
  <si>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</si>
  <si>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</si>
  <si>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</si>
  <si>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</si>
  <si>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</si>
  <si>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</si>
  <si>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</si>
  <si>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</si>
  <si>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</si>
  <si>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</si>
  <si>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</si>
  <si>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</si>
  <si>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</si>
  <si>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</si>
  <si>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</si>
  <si>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</si>
  <si>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</si>
  <si>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</si>
  <si>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</si>
  <si>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</si>
  <si>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</si>
  <si>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</si>
  <si>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</si>
  <si>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</si>
  <si>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</si>
  <si>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</si>
  <si>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</si>
  <si>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</si>
  <si>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</si>
  <si>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</si>
  <si>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</si>
  <si>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</si>
  <si>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</si>
  <si>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</si>
  <si>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</si>
  <si>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</si>
  <si>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</si>
  <si>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</si>
  <si>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</si>
  <si>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</si>
  <si>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</si>
  <si>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</si>
  <si>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</si>
  <si>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</si>
  <si>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</si>
  <si>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</si>
  <si>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</si>
  <si>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</si>
  <si>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</si>
  <si>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</si>
  <si>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</si>
  <si>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</si>
  <si>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</si>
  <si>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</si>
  <si>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</si>
  <si>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</si>
  <si>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</si>
  <si>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</si>
  <si>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</si>
  <si>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</si>
  <si>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</si>
  <si>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</si>
  <si>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</si>
  <si>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</si>
  <si>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</si>
  <si>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</si>
  <si>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</si>
  <si>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</si>
  <si>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</si>
  <si>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</si>
  <si>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</si>
  <si>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</si>
  <si>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</si>
  <si>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</si>
  <si>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</si>
  <si>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</si>
  <si>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</si>
  <si>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</si>
  <si>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</si>
  <si>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</si>
  <si>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</si>
  <si>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</si>
  <si>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</si>
  <si>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</si>
  <si>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</si>
  <si>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</si>
  <si>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</si>
  <si>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</si>
  <si>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</si>
  <si>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</si>
  <si>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</si>
  <si>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</si>
  <si>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</si>
  <si>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</si>
  <si>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</si>
  <si>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</si>
  <si>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</si>
  <si>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</si>
  <si>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</si>
  <si>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</si>
  <si>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</si>
  <si>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</si>
  <si>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</si>
  <si>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</si>
  <si>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</si>
  <si>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</si>
  <si>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</si>
  <si>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</si>
  <si>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</si>
  <si>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</si>
  <si>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</si>
  <si>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</si>
  <si>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</si>
  <si>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</si>
  <si>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</si>
  <si>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</si>
  <si>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</si>
  <si>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</si>
  <si>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</si>
  <si>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</si>
  <si>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</si>
  <si>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</si>
  <si>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</si>
  <si>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</si>
  <si>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</si>
  <si>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</si>
  <si>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</si>
  <si>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</si>
  <si>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</si>
  <si>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</si>
  <si>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</si>
  <si>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</si>
  <si>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</si>
  <si>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</si>
  <si>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</si>
  <si>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</si>
  <si>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</si>
  <si>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</si>
  <si>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</si>
  <si>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</si>
  <si>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</si>
  <si>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</si>
  <si>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</si>
  <si>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</si>
  <si>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</si>
  <si>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</si>
  <si>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</si>
  <si>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</si>
  <si>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</si>
  <si>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</si>
  <si>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</si>
  <si>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</si>
  <si>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</si>
  <si>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</si>
  <si>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</si>
  <si>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</si>
  <si>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</si>
  <si>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</si>
  <si>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</si>
  <si>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</si>
  <si>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</si>
  <si>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</si>
  <si>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</si>
  <si>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</si>
  <si>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</si>
  <si>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</si>
  <si>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</si>
  <si>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</si>
  <si>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</si>
  <si>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</si>
  <si>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</si>
  <si>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</si>
  <si>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</si>
  <si>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</si>
  <si>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</si>
  <si>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</si>
  <si>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</si>
  <si>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</si>
  <si>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</si>
  <si>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</si>
  <si>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</si>
  <si>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</si>
  <si>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</si>
  <si>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</si>
  <si>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</si>
  <si>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</si>
  <si>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</si>
  <si>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</si>
  <si>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</si>
  <si>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</si>
  <si>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</si>
  <si>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</si>
  <si>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</si>
  <si>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</si>
  <si>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</si>
  <si>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</si>
  <si>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</si>
  <si>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</si>
  <si>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</si>
  <si>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</si>
  <si>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</si>
  <si>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</si>
  <si>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</si>
  <si>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</si>
  <si>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</si>
  <si>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</si>
  <si>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</si>
  <si>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</si>
  <si>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</si>
  <si>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</si>
  <si>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</si>
  <si>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</si>
  <si>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</si>
  <si>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</si>
  <si>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</si>
  <si>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</si>
  <si>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</si>
  <si>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</si>
  <si>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</si>
  <si>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</si>
  <si>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</si>
  <si>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</si>
  <si>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</si>
  <si>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</si>
  <si>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</si>
  <si>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</si>
  <si>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</si>
  <si>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</si>
  <si>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</si>
  <si>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</si>
  <si>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</si>
  <si>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</si>
  <si>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</si>
  <si>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</si>
  <si>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</si>
  <si>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</si>
  <si>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</si>
  <si>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</si>
  <si>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</si>
  <si>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</si>
  <si>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</si>
  <si>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</si>
  <si>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</si>
  <si>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</si>
  <si>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</si>
  <si>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</si>
  <si>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</si>
  <si>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</si>
  <si>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</si>
  <si>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</si>
  <si>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</si>
  <si>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</si>
  <si>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</si>
  <si>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</si>
  <si>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</si>
  <si>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</si>
  <si>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</si>
  <si>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</si>
  <si>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</si>
  <si>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</si>
  <si>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</si>
  <si>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</si>
  <si>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</si>
  <si>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</si>
  <si>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</si>
  <si>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</si>
  <si>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</si>
  <si>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</si>
  <si>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</si>
  <si>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</si>
  <si>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</si>
  <si>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</si>
  <si>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</si>
  <si>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</si>
  <si>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</si>
  <si>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</si>
  <si>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</si>
  <si>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</si>
  <si>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</si>
  <si>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</si>
  <si>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</si>
  <si>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</si>
  <si>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</si>
  <si>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</si>
  <si>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</si>
  <si>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</si>
  <si>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</si>
  <si>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</si>
  <si>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</si>
  <si>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</si>
  <si>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</si>
  <si>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</si>
  <si>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</si>
  <si>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</si>
  <si>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</si>
  <si>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</si>
  <si>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</si>
  <si>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</si>
  <si>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</si>
  <si>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</si>
  <si>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</si>
  <si>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</si>
  <si>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</si>
  <si>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</si>
  <si>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</si>
  <si>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</si>
  <si>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</si>
  <si>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</si>
  <si>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</si>
  <si>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</si>
  <si>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</si>
  <si>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</si>
  <si>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</si>
  <si>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</si>
  <si>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</si>
  <si>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</si>
  <si>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</si>
  <si>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</si>
  <si>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</si>
  <si>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</si>
  <si>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</si>
  <si>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</si>
  <si>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</si>
  <si>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</si>
  <si>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</si>
  <si>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</si>
  <si>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</si>
  <si>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</si>
  <si>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</si>
  <si>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</si>
  <si>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</si>
  <si>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</si>
  <si>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</si>
  <si>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</si>
  <si>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</si>
  <si>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</si>
  <si>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</si>
  <si>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</si>
  <si>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</si>
  <si>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</si>
  <si>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</si>
  <si>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</si>
  <si>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</si>
  <si>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</si>
  <si>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</si>
  <si>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</si>
  <si>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</si>
  <si>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</si>
  <si>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</si>
  <si>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</si>
  <si>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</si>
  <si>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</si>
  <si>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</si>
  <si>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</si>
  <si>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</si>
  <si>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</si>
  <si>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</si>
  <si>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</si>
  <si>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</si>
  <si>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</si>
  <si>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</si>
  <si>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</si>
  <si>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</si>
  <si>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</si>
  <si>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</si>
  <si>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</si>
  <si>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</si>
  <si>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</si>
  <si>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</si>
  <si>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</si>
  <si>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</si>
  <si>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</si>
  <si>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</si>
  <si>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</si>
  <si>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</si>
  <si>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</si>
  <si>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</si>
  <si>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</si>
  <si>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</si>
  <si>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</si>
  <si>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</si>
  <si>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</si>
  <si>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</si>
  <si>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</si>
  <si>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</si>
  <si>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</si>
  <si>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</si>
  <si>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</si>
  <si>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</si>
  <si>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</si>
  <si>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</si>
  <si>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</si>
  <si>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</si>
  <si>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</si>
  <si>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</si>
  <si>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</si>
  <si>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</si>
  <si>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</si>
  <si>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</si>
  <si>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</si>
  <si>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</si>
  <si>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</si>
  <si>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</si>
  <si>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</si>
  <si>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</si>
  <si>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</si>
  <si>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</si>
  <si>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</si>
  <si>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</si>
  <si>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</si>
  <si>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</si>
  <si>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</si>
  <si>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</si>
  <si>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</si>
  <si>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</si>
  <si>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</si>
  <si>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</si>
  <si>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</si>
  <si>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</si>
  <si>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</si>
  <si>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</si>
  <si>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</si>
  <si>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</si>
  <si>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</si>
  <si>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</si>
  <si>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</si>
  <si>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</si>
  <si>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</si>
  <si>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</si>
  <si>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</si>
  <si>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</si>
  <si>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</si>
  <si>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</si>
  <si>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</si>
  <si>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</si>
  <si>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</si>
  <si>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</si>
  <si>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</si>
  <si>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</si>
  <si>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</si>
  <si>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</si>
  <si>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</si>
  <si>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</si>
  <si>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</si>
  <si>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</si>
  <si>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</si>
  <si>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</si>
  <si>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</si>
  <si>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</si>
  <si>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</si>
  <si>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</si>
  <si>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</si>
  <si>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</si>
  <si>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</si>
  <si>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</si>
  <si>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</si>
  <si>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</si>
  <si>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</si>
  <si>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</si>
  <si>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</si>
  <si>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</si>
  <si>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</si>
  <si>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</si>
  <si>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</si>
  <si>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</si>
  <si>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</si>
  <si>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</si>
  <si>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</si>
  <si>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</si>
  <si>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</si>
  <si>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</si>
  <si>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</si>
  <si>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</si>
  <si>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</si>
  <si>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</si>
  <si>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</si>
  <si>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</si>
  <si>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</si>
  <si>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</si>
  <si>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</si>
  <si>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</si>
  <si>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</si>
  <si>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</si>
  <si>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</si>
  <si>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</si>
  <si>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</si>
  <si>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</si>
  <si>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</si>
  <si>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</si>
  <si>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</si>
  <si>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</si>
  <si>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</si>
  <si>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</si>
  <si>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</si>
  <si>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</si>
  <si>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</si>
  <si>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</si>
  <si>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</si>
  <si>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</si>
  <si>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</si>
  <si>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</si>
  <si>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</si>
  <si>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</si>
  <si>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</si>
  <si>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</si>
  <si>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</si>
  <si>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</si>
  <si>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</si>
  <si>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</si>
  <si>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</si>
  <si>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</si>
  <si>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</si>
  <si>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</si>
  <si>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</si>
  <si>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</si>
  <si>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</si>
  <si>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</si>
  <si>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</si>
  <si>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</si>
  <si>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</si>
  <si>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</si>
  <si>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</si>
  <si>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</si>
  <si>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</si>
  <si>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</si>
  <si>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</si>
  <si>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</si>
  <si>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</si>
  <si>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</si>
  <si>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</si>
  <si>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</si>
  <si>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</si>
  <si>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</si>
  <si>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</si>
  <si>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</si>
  <si>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</si>
  <si>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</si>
  <si>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</si>
  <si>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</si>
  <si>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</si>
  <si>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</si>
  <si>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</si>
  <si>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</si>
  <si>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</si>
  <si>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</si>
  <si>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</si>
  <si>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</si>
  <si>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</si>
  <si>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</si>
  <si>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</si>
  <si>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</si>
  <si>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</si>
  <si>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</si>
  <si>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</si>
  <si>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</si>
  <si>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</si>
  <si>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</si>
  <si>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</si>
  <si>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</si>
  <si>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</si>
  <si>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</si>
  <si>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</si>
  <si>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</si>
  <si>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</si>
  <si>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</si>
  <si>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</si>
  <si>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</si>
  <si>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</si>
  <si>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</si>
  <si>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</si>
  <si>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</si>
  <si>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</si>
  <si>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</si>
  <si>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</si>
  <si>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</si>
  <si>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</si>
  <si>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</si>
  <si>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</si>
  <si>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</si>
  <si>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</si>
  <si>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</si>
  <si>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</si>
  <si>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</si>
  <si>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</si>
  <si>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</si>
  <si>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</si>
  <si>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</si>
  <si>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</si>
  <si>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</si>
  <si>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</si>
  <si>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</si>
  <si>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</si>
  <si>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</si>
  <si>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</si>
  <si>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</si>
  <si>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</si>
  <si>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</si>
  <si>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</si>
  <si>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</si>
  <si>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</si>
  <si>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</si>
  <si>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</si>
  <si>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</si>
  <si>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</si>
  <si>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</si>
  <si>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</si>
  <si>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</si>
  <si>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</si>
  <si>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</si>
  <si>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</si>
  <si>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</si>
  <si>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</si>
  <si>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</si>
  <si>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</si>
  <si>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</si>
  <si>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</si>
  <si>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</si>
  <si>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</si>
  <si>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</si>
  <si>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</si>
  <si>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</si>
  <si>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</si>
  <si>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</si>
  <si>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</si>
  <si>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</si>
  <si>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</si>
  <si>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</si>
  <si>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</si>
  <si>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</si>
  <si>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</si>
  <si>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</si>
  <si>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</si>
  <si>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</si>
  <si>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</si>
  <si>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</si>
  <si>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</si>
  <si>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</si>
  <si>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</si>
  <si>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</si>
  <si>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</si>
  <si>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</si>
  <si>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</si>
  <si>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</si>
  <si>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</si>
  <si>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</si>
  <si>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</si>
  <si>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</si>
  <si>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</si>
  <si>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</si>
  <si>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</si>
  <si>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</si>
  <si>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</si>
  <si>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</si>
  <si>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</si>
  <si>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</si>
  <si>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</si>
  <si>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</si>
  <si>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</si>
  <si>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</si>
  <si>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</si>
  <si>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</si>
  <si>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</si>
  <si>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</si>
  <si>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</si>
  <si>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</si>
  <si>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</si>
  <si>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</si>
  <si>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</si>
  <si>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</si>
  <si>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</si>
  <si>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</si>
  <si>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</si>
  <si>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</si>
  <si>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</si>
  <si>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</si>
  <si>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</si>
  <si>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</si>
  <si>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</si>
  <si>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</si>
  <si>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</si>
  <si>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</si>
  <si>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</si>
  <si>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</si>
  <si>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</si>
  <si>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</si>
  <si>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</si>
  <si>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</si>
  <si>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</si>
  <si>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</si>
  <si>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</si>
  <si>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</si>
  <si>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</si>
  <si>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</si>
  <si>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</si>
  <si>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</si>
  <si>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</si>
  <si>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</si>
  <si>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</si>
  <si>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</si>
  <si>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</si>
  <si>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</si>
  <si>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</si>
  <si>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</si>
  <si>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</si>
  <si>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</si>
  <si>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</si>
  <si>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</si>
  <si>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</si>
  <si>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</si>
  <si>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</si>
  <si>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</si>
  <si>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</si>
  <si>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</si>
  <si>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</si>
  <si>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</si>
  <si>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</si>
  <si>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</si>
  <si>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</si>
  <si>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</si>
  <si>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</si>
  <si>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</si>
  <si>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</si>
  <si>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</si>
  <si>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</si>
  <si>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</si>
  <si>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</si>
  <si>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</si>
  <si>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</si>
  <si>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</si>
  <si>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</si>
  <si>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</si>
  <si>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</si>
  <si>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</si>
  <si>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</si>
  <si>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</si>
  <si>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</si>
  <si>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</si>
  <si>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</si>
  <si>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</si>
  <si>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</si>
  <si>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</si>
  <si>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</si>
  <si>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</si>
  <si>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</si>
  <si>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</si>
  <si>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</si>
  <si>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</si>
  <si>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</si>
  <si>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</si>
  <si>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</si>
  <si>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</si>
  <si>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</si>
  <si>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</si>
  <si>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</si>
  <si>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</si>
  <si>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</si>
  <si>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</si>
  <si>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</si>
  <si>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</si>
  <si>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</si>
  <si>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</si>
  <si>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</si>
  <si>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</si>
  <si>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</si>
  <si>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</si>
  <si>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</si>
  <si>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</si>
  <si>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</si>
  <si>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</si>
  <si>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</si>
  <si>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</si>
  <si>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</si>
  <si>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</si>
  <si>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</si>
  <si>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</si>
  <si>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</si>
  <si>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</si>
  <si>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</si>
  <si>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</si>
  <si>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</si>
  <si>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</si>
  <si>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</si>
  <si>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</si>
  <si>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</si>
  <si>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</si>
  <si>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</si>
  <si>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</si>
  <si>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</si>
  <si>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</si>
  <si>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</si>
  <si>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</si>
  <si>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</si>
  <si>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</si>
  <si>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</si>
  <si>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</si>
  <si>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</si>
  <si>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</si>
  <si>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</si>
  <si>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</si>
  <si>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</si>
  <si>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</si>
  <si>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</si>
  <si>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</si>
  <si>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</si>
  <si>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</si>
  <si>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</si>
  <si>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</si>
  <si>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</si>
  <si>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</si>
  <si>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</si>
  <si>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</si>
  <si>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</si>
  <si>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</si>
  <si>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</si>
  <si>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</si>
  <si>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</si>
  <si>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</si>
  <si>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</si>
  <si>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</si>
  <si>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</si>
  <si>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</si>
  <si>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</si>
  <si>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</si>
  <si>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</si>
  <si>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</si>
  <si>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</si>
  <si>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</si>
  <si>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</si>
  <si>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</si>
  <si>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</si>
  <si>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</si>
  <si>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</si>
  <si>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</si>
  <si>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</si>
  <si>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</si>
  <si>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</si>
  <si>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</si>
  <si>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</si>
  <si>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</si>
  <si>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</si>
  <si>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</si>
  <si>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</si>
  <si>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</si>
  <si>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</si>
  <si>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</si>
  <si>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</si>
  <si>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</si>
  <si>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</si>
  <si>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</si>
  <si>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</si>
  <si>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</si>
  <si>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</si>
  <si>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</si>
  <si>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</si>
  <si>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</si>
  <si>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</si>
  <si>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</si>
  <si>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</si>
  <si>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</si>
  <si>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</si>
  <si>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</si>
  <si>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</si>
  <si>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</si>
  <si>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</si>
  <si>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</si>
  <si>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</si>
  <si>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</si>
  <si>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</si>
  <si>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</si>
  <si>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</si>
  <si>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</si>
  <si>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</si>
  <si>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</si>
  <si>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</si>
  <si>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</si>
  <si>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</si>
  <si>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</si>
  <si>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</si>
  <si>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</si>
  <si>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</si>
  <si>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</si>
  <si>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</si>
  <si>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</si>
  <si>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</si>
  <si>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</si>
  <si>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</si>
  <si>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</si>
  <si>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</si>
  <si>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</si>
  <si>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</si>
  <si>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</si>
  <si>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</si>
  <si>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</si>
  <si>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</si>
  <si>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</si>
  <si>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</si>
  <si>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</si>
  <si>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</si>
  <si>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</si>
  <si>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</si>
  <si>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</si>
  <si>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</si>
  <si>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</si>
  <si>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</si>
  <si>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</si>
  <si>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</si>
  <si>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</si>
  <si>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</si>
  <si>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</si>
  <si>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</si>
  <si>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</si>
  <si>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</si>
  <si>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</si>
  <si>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</si>
  <si>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</si>
  <si>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</si>
  <si>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</si>
  <si>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</si>
  <si>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</si>
  <si>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</si>
  <si>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</si>
  <si>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</si>
  <si>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</si>
  <si>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</si>
  <si>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</si>
  <si>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</si>
  <si>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</si>
  <si>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</si>
  <si>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</si>
  <si>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</si>
  <si>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</si>
  <si>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</si>
  <si>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</si>
  <si>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</si>
  <si>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</si>
  <si>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</si>
  <si>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</si>
  <si>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</si>
  <si>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</si>
  <si>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</si>
  <si>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</si>
  <si>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</si>
  <si>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</si>
  <si>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</si>
  <si>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</si>
  <si>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</si>
  <si>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</si>
  <si>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</si>
  <si>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</si>
  <si>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</si>
  <si>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</si>
  <si>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</si>
  <si>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</si>
  <si>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</si>
  <si>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</si>
  <si>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</si>
  <si>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</si>
  <si>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</si>
  <si>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</si>
  <si>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</si>
  <si>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</si>
  <si>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</si>
  <si>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</si>
  <si>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</si>
  <si>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</si>
  <si>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</si>
  <si>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</si>
  <si>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</si>
  <si>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</si>
  <si>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</si>
  <si>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</si>
  <si>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</si>
  <si>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</si>
  <si>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</si>
  <si>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</si>
  <si>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</si>
  <si>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</si>
  <si>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</si>
  <si>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</si>
  <si>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</si>
  <si>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</si>
  <si>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</si>
  <si>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</si>
  <si>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</si>
  <si>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</si>
  <si>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</si>
  <si>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</si>
  <si>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</si>
  <si>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</si>
  <si>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</si>
  <si>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</si>
  <si>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</si>
  <si>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</si>
  <si>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</si>
  <si>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</si>
  <si>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</si>
  <si>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</si>
  <si>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</si>
  <si>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</si>
  <si>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</si>
  <si>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</si>
  <si>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</si>
  <si>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</si>
  <si>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</si>
  <si>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</si>
  <si>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</si>
  <si>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</si>
  <si>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</si>
  <si>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</si>
  <si>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</si>
  <si>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</si>
  <si>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</si>
  <si>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</si>
  <si>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</si>
  <si>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</si>
  <si>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</si>
  <si>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</si>
  <si>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</si>
  <si>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</si>
  <si>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</si>
  <si>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</si>
  <si>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</si>
  <si>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</si>
  <si>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</si>
  <si>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</si>
  <si>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</si>
  <si>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</si>
  <si>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</si>
  <si>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</si>
  <si>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</si>
  <si>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</si>
  <si>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</si>
  <si>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</si>
  <si>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</si>
  <si>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</si>
  <si>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</si>
  <si>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</si>
  <si>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</si>
  <si>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</si>
  <si>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</si>
  <si>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</si>
  <si>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</si>
  <si>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</si>
  <si>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</si>
  <si>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</si>
  <si>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</si>
  <si>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</si>
  <si>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</si>
  <si>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</si>
  <si>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</si>
  <si>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</si>
  <si>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</si>
  <si>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</si>
  <si>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</si>
  <si>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</si>
  <si>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</si>
  <si>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</si>
  <si>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</si>
  <si>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</si>
  <si>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</si>
  <si>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</si>
  <si>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</si>
  <si>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</si>
  <si>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</si>
  <si>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</si>
  <si>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</si>
  <si>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</si>
  <si>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</si>
  <si>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</si>
  <si>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</si>
  <si>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</si>
  <si>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</si>
  <si>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</si>
  <si>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</si>
  <si>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</si>
  <si>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</si>
  <si>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</si>
  <si>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</si>
  <si>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</si>
  <si>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</si>
  <si>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</si>
  <si>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</si>
  <si>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</si>
  <si>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</si>
  <si>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</si>
  <si>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</si>
  <si>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</si>
  <si>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</si>
  <si>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</si>
  <si>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</si>
  <si>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</si>
  <si>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</si>
  <si>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</si>
  <si>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</si>
  <si>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</si>
  <si>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</si>
  <si>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</si>
  <si>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</si>
  <si>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</si>
  <si>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</si>
  <si>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</si>
  <si>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</si>
  <si>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</si>
  <si>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</si>
  <si>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</si>
  <si>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</si>
  <si>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</si>
  <si>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</si>
  <si>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</si>
  <si>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</si>
  <si>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</si>
  <si>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</si>
  <si>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</si>
  <si>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</si>
  <si>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</si>
  <si>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</si>
  <si>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</si>
  <si>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</si>
  <si>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</si>
  <si>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</si>
  <si>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</si>
  <si>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</si>
  <si>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</si>
  <si>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</si>
  <si>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</si>
  <si>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</si>
  <si>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</si>
  <si>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</si>
  <si>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</si>
  <si>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</si>
  <si>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</si>
  <si>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</si>
  <si>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</si>
  <si>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</si>
  <si>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</si>
  <si>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</si>
  <si>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</si>
  <si>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</si>
  <si>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</si>
  <si>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</si>
  <si>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</si>
  <si>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</si>
  <si>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</si>
  <si>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</si>
  <si>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</si>
  <si>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</si>
  <si>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</si>
  <si>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</si>
  <si>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</si>
  <si>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</si>
  <si>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</si>
  <si>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</si>
  <si>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</si>
  <si>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</si>
  <si>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</si>
  <si>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</si>
  <si>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</si>
  <si>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</si>
  <si>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</si>
  <si>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</si>
  <si>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</si>
  <si>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</si>
  <si>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</si>
  <si>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</si>
  <si>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</si>
  <si>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</si>
  <si>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</si>
  <si>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</si>
  <si>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</si>
  <si>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</si>
  <si>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</si>
  <si>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</si>
  <si>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</si>
  <si>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</si>
  <si>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</si>
  <si>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</si>
  <si>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</si>
  <si>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</si>
  <si>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</si>
  <si>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</si>
  <si>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</si>
  <si>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</si>
  <si>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</si>
  <si>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</si>
  <si>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</si>
  <si>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</si>
  <si>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</si>
  <si>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</si>
  <si>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</si>
  <si>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</si>
  <si>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</si>
  <si>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</si>
  <si>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</si>
  <si>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</si>
  <si>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</si>
  <si>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</si>
  <si>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</si>
  <si>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</si>
  <si>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</si>
  <si>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</si>
  <si>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</si>
  <si>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</si>
  <si>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</si>
  <si>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</si>
  <si>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</si>
  <si>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</si>
  <si>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</si>
  <si>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</si>
  <si>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</si>
  <si>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</si>
  <si>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</si>
  <si>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</si>
  <si>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</si>
  <si>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</si>
  <si>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</si>
  <si>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</si>
  <si>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</si>
  <si>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</si>
  <si>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</si>
  <si>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</si>
  <si>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</si>
  <si>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</si>
  <si>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</si>
  <si>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</si>
  <si>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</si>
  <si>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</si>
  <si>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</si>
  <si>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</si>
  <si>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</si>
  <si>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</si>
  <si>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</si>
  <si>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</si>
  <si>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</si>
  <si>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</si>
  <si>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</si>
  <si>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</si>
  <si>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</si>
  <si>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</si>
  <si>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</si>
  <si>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</si>
  <si>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</si>
  <si>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</si>
  <si>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</si>
  <si>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</si>
  <si>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</si>
  <si>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</si>
  <si>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</si>
  <si>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</si>
  <si>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</si>
  <si>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</si>
  <si>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</si>
  <si>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</si>
  <si>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</si>
  <si>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</si>
  <si>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</si>
  <si>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</si>
  <si>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</si>
  <si>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</si>
  <si>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</si>
  <si>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</si>
  <si>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</si>
  <si>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</si>
  <si>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</si>
  <si>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</si>
  <si>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</si>
  <si>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</si>
  <si>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</si>
  <si>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</si>
  <si>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</si>
  <si>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</si>
  <si>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</si>
  <si>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</si>
  <si>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</si>
  <si>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</si>
  <si>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</si>
  <si>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</si>
  <si>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</si>
  <si>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</si>
  <si>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</si>
  <si>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</si>
  <si>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</si>
  <si>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</si>
  <si>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</si>
  <si>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</si>
  <si>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</si>
  <si>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</si>
  <si>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</si>
  <si>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</si>
  <si>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</si>
  <si>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</si>
  <si>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</si>
  <si>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</si>
  <si>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</si>
  <si>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</si>
  <si>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</si>
  <si>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</si>
  <si>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</si>
  <si>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</si>
  <si>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</si>
  <si>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</si>
  <si>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</si>
  <si>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</si>
  <si>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</si>
  <si>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</si>
  <si>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</si>
  <si>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</si>
  <si>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</si>
  <si>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</si>
  <si>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</si>
  <si>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</si>
  <si>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</si>
  <si>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</si>
  <si>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</si>
  <si>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</si>
  <si>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</si>
  <si>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</si>
  <si>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</si>
  <si>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</si>
  <si>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</si>
  <si>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</si>
  <si>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</si>
  <si>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</si>
  <si>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</si>
  <si>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</si>
  <si>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</si>
  <si>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</si>
  <si>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</si>
  <si>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</si>
  <si>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</si>
  <si>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</si>
  <si>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</si>
  <si>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</si>
  <si>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</si>
  <si>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</si>
  <si>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</si>
  <si>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</si>
  <si>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</si>
  <si>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</si>
  <si>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</si>
  <si>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</si>
  <si>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</si>
  <si>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</si>
  <si>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</si>
  <si>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</si>
  <si>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</si>
  <si>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</si>
  <si>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</si>
  <si>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</si>
  <si>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</si>
  <si>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</si>
  <si>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</si>
  <si>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</si>
  <si>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</si>
  <si>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</si>
  <si>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</si>
  <si>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</si>
  <si>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</si>
  <si>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</si>
  <si>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</si>
  <si>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</si>
  <si>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</si>
  <si>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</si>
  <si>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</si>
  <si>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</si>
  <si>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</si>
  <si>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</si>
  <si>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</si>
  <si>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</si>
  <si>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</si>
  <si>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</si>
  <si>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</si>
  <si>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</si>
  <si>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</si>
  <si>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</si>
  <si>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</si>
  <si>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</si>
  <si>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</si>
  <si>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</si>
  <si>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</si>
  <si>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</si>
  <si>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</si>
  <si>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</si>
  <si>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</si>
  <si>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</si>
  <si>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</si>
  <si>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</si>
  <si>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</si>
  <si>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</si>
  <si>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</si>
  <si>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</si>
  <si>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</si>
  <si>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</si>
  <si>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</si>
  <si>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</si>
  <si>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</si>
  <si>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</si>
  <si>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</si>
  <si>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</si>
  <si>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</si>
  <si>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</si>
  <si>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</si>
  <si>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</si>
  <si>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</si>
  <si>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</si>
  <si>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</si>
  <si>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</si>
  <si>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</si>
  <si>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</si>
  <si>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</si>
  <si>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</si>
  <si>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</si>
  <si>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</si>
  <si>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</si>
  <si>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</si>
  <si>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</si>
  <si>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</si>
  <si>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</si>
  <si>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</si>
  <si>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</si>
  <si>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</si>
  <si>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</si>
  <si>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</si>
  <si>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</si>
  <si>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</si>
  <si>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</si>
  <si>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</si>
  <si>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</si>
  <si>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</si>
  <si>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</si>
  <si>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</si>
  <si>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</si>
  <si>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</si>
  <si>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</si>
  <si>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</si>
  <si>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</si>
  <si>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</si>
  <si>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</si>
  <si>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</si>
  <si>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</si>
  <si>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</si>
  <si>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</si>
  <si>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</si>
  <si>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</si>
  <si>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</si>
  <si>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</si>
  <si>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</si>
  <si>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</si>
  <si>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</si>
  <si>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</si>
  <si>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</si>
  <si>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</si>
  <si>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</si>
  <si>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</si>
  <si>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</si>
  <si>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</si>
  <si>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</si>
  <si>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</si>
  <si>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</si>
  <si>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</si>
  <si>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</si>
  <si>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</si>
  <si>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</si>
  <si>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</si>
  <si>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</si>
  <si>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</si>
  <si>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</si>
  <si>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</si>
  <si>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</si>
  <si>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</si>
  <si>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</si>
  <si>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</si>
  <si>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</si>
  <si>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</si>
  <si>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</si>
  <si>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</si>
  <si>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</si>
  <si>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</si>
  <si>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</si>
  <si>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</si>
  <si>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</si>
  <si>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</si>
  <si>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</si>
  <si>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</si>
  <si>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</si>
  <si>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</si>
  <si>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</si>
  <si>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</si>
  <si>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</si>
  <si>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</si>
  <si>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</si>
  <si>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</si>
  <si>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</si>
  <si>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</si>
  <si>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</si>
  <si>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</si>
  <si>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</si>
  <si>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</si>
  <si>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</si>
  <si>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</si>
  <si>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</si>
  <si>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</si>
  <si>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</si>
  <si>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</si>
  <si>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</si>
  <si>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</si>
  <si>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</si>
  <si>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</si>
  <si>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</si>
  <si>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</si>
  <si>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</si>
  <si>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</si>
  <si>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</si>
  <si>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</si>
  <si>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</si>
  <si>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</si>
  <si>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</si>
  <si>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</si>
  <si>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</si>
  <si>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</si>
  <si>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</si>
  <si>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</si>
  <si>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</si>
  <si>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</si>
  <si>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</si>
  <si>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</si>
  <si>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</si>
  <si>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</si>
  <si>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</si>
  <si>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</si>
  <si>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</si>
  <si>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</si>
  <si>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</si>
  <si>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</si>
  <si>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</si>
  <si>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</si>
  <si>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</si>
  <si>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</si>
  <si>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</si>
  <si>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</si>
  <si>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</si>
  <si>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</si>
  <si>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</si>
  <si>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</si>
  <si>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</si>
  <si>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</si>
  <si>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</si>
  <si>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</si>
  <si>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</si>
  <si>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</si>
  <si>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</si>
  <si>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</si>
  <si>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</si>
  <si>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</si>
  <si>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</si>
  <si>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</si>
  <si>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</si>
  <si>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</si>
  <si>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</si>
  <si>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</si>
  <si>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</si>
  <si>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</si>
  <si>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</si>
  <si>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</si>
  <si>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</si>
  <si>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</si>
  <si>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</si>
  <si>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</si>
  <si>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</si>
  <si>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</si>
  <si>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</si>
  <si>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</si>
  <si>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</si>
  <si>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</si>
  <si>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</si>
  <si>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</si>
  <si>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</si>
  <si>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</si>
  <si>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</si>
  <si>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</si>
  <si>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</si>
  <si>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</si>
  <si>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</si>
  <si>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</si>
  <si>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</si>
  <si>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</si>
  <si>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</si>
  <si>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</si>
  <si>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</si>
  <si>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</si>
  <si>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</si>
  <si>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</si>
  <si>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</si>
  <si>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</si>
  <si>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</si>
  <si>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</si>
  <si>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</si>
  <si>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</si>
  <si>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</si>
  <si>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</si>
  <si>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</si>
  <si>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</si>
  <si>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</si>
  <si>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</si>
  <si>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</si>
  <si>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</si>
  <si>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</si>
  <si>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</si>
  <si>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</si>
  <si>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</si>
  <si>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</si>
  <si>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</si>
  <si>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</si>
  <si>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</si>
  <si>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</si>
  <si>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</si>
  <si>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</si>
  <si>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</si>
  <si>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</si>
  <si>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</si>
  <si>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</si>
  <si>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</si>
  <si>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</si>
  <si>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</si>
  <si>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</si>
  <si>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</si>
  <si>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</si>
  <si>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</si>
  <si>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</si>
  <si>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</si>
  <si>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</si>
  <si>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</si>
  <si>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</si>
  <si>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</si>
  <si>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</si>
  <si>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</si>
  <si>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</si>
  <si>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</si>
  <si>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</si>
  <si>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</si>
  <si>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</si>
  <si>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</si>
  <si>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</si>
  <si>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</si>
  <si>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</si>
  <si>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</si>
  <si>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</si>
  <si>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</si>
  <si>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</si>
  <si>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</si>
  <si>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</si>
  <si>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</si>
  <si>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</si>
  <si>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</si>
  <si>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</si>
  <si>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</si>
  <si>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</si>
  <si>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</si>
  <si>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</si>
  <si>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</si>
  <si>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</si>
  <si>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</si>
  <si>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</si>
  <si>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</si>
  <si>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</si>
  <si>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</si>
  <si>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</si>
  <si>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</si>
  <si>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</si>
  <si>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</si>
  <si>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</si>
  <si>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</si>
  <si>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</si>
  <si>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</si>
  <si>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</si>
  <si>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</si>
  <si>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</si>
  <si>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</si>
  <si>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</si>
  <si>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</si>
  <si>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</si>
  <si>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</si>
  <si>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</si>
  <si>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</si>
  <si>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</si>
  <si>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</si>
  <si>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</si>
  <si>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</si>
  <si>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</si>
  <si>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</si>
  <si>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</si>
  <si>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</si>
  <si>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</si>
  <si>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</si>
  <si>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</si>
  <si>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</si>
  <si>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</si>
  <si>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</si>
  <si>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</si>
  <si>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</si>
  <si>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</si>
  <si>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</si>
  <si>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</si>
  <si>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</si>
  <si>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</si>
  <si>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</si>
  <si>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</si>
  <si>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</si>
  <si>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</si>
  <si>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</si>
  <si>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</si>
  <si>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</si>
  <si>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</si>
  <si>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</si>
  <si>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</si>
  <si>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</si>
  <si>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</si>
  <si>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</si>
  <si>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</si>
  <si>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</si>
  <si>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</si>
  <si>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</si>
  <si>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</si>
  <si>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</si>
  <si>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</si>
  <si>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</si>
  <si>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</si>
  <si>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</si>
  <si>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</si>
  <si>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</si>
  <si>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</si>
  <si>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</si>
  <si>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</si>
  <si>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</si>
  <si>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</si>
  <si>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</si>
  <si>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</si>
  <si>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</si>
  <si>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</si>
  <si>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</si>
  <si>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</si>
  <si>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</si>
  <si>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</si>
  <si>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</si>
  <si>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</si>
  <si>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</si>
  <si>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</si>
  <si>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</si>
  <si>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</si>
  <si>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</si>
  <si>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</si>
  <si>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</si>
  <si>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</si>
  <si>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</si>
  <si>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</si>
  <si>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</si>
  <si>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</si>
  <si>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</si>
  <si>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</si>
  <si>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</si>
  <si>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</si>
  <si>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</si>
  <si>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</si>
  <si>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</si>
  <si>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</si>
  <si>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</si>
  <si>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</si>
  <si>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</si>
  <si>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</si>
  <si>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</si>
  <si>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</si>
  <si>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</si>
  <si>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</si>
  <si>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</si>
  <si>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</si>
  <si>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</si>
  <si>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</si>
  <si>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</si>
  <si>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</si>
  <si>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</si>
  <si>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</si>
  <si>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</si>
  <si>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</si>
  <si>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</si>
  <si>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</si>
  <si>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</si>
  <si>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</si>
  <si>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</si>
  <si>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</si>
  <si>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</si>
  <si>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</si>
  <si>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</si>
  <si>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</si>
  <si>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</si>
  <si>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</si>
  <si>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</si>
  <si>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</si>
  <si>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</si>
  <si>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</si>
  <si>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</si>
  <si>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</si>
  <si>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</si>
  <si>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</si>
  <si>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</si>
  <si>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</si>
  <si>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</si>
  <si>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</si>
  <si>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</si>
  <si>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</si>
  <si>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</si>
  <si>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</si>
  <si>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</si>
  <si>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</si>
  <si>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</si>
  <si>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</si>
  <si>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</si>
  <si>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</si>
  <si>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</si>
  <si>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</si>
  <si>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</si>
  <si>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</si>
  <si>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</si>
  <si>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</si>
  <si>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</si>
  <si>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</si>
  <si>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</si>
  <si>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</si>
  <si>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</si>
  <si>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</si>
  <si>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</si>
  <si>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</si>
  <si>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</si>
  <si>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</si>
  <si>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</si>
  <si>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</si>
  <si>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</si>
  <si>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</si>
  <si>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</si>
  <si>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</si>
  <si>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</si>
  <si>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</si>
  <si>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</si>
  <si>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</si>
  <si>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</si>
  <si>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</si>
  <si>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</si>
  <si>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</si>
  <si>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</si>
  <si>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</si>
  <si>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</si>
  <si>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</si>
  <si>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</si>
  <si>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</si>
  <si>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</si>
  <si>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</si>
  <si>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</si>
  <si>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</si>
  <si>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</si>
  <si>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</si>
  <si>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</si>
  <si>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</si>
  <si>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</si>
  <si>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</si>
  <si>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</si>
  <si>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</si>
  <si>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</si>
  <si>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</si>
  <si>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</si>
  <si>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</si>
  <si>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</si>
  <si>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</si>
  <si>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</si>
  <si>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</si>
  <si>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</si>
  <si>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</si>
  <si>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</si>
  <si>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</si>
  <si>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</si>
  <si>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</si>
  <si>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</si>
  <si>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</si>
  <si>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</si>
  <si>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</si>
  <si>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</si>
  <si>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</si>
  <si>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</si>
  <si>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</si>
  <si>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</si>
  <si>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</si>
  <si>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</si>
  <si>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</si>
  <si>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</si>
  <si>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</si>
  <si>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</si>
  <si>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</si>
  <si>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</si>
  <si>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</si>
  <si>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</si>
  <si>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</si>
  <si>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</si>
  <si>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</si>
  <si>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</si>
  <si>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</si>
  <si>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</si>
  <si>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</si>
  <si>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</si>
  <si>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</si>
  <si>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</si>
  <si>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</si>
  <si>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</si>
  <si>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</si>
  <si>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</si>
  <si>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</si>
  <si>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</si>
  <si>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</si>
  <si>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</si>
  <si>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</si>
  <si>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</si>
  <si>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</si>
  <si>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</si>
  <si>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</si>
  <si>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</si>
  <si>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</si>
  <si>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</si>
  <si>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</si>
  <si>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</si>
  <si>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</si>
  <si>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</si>
  <si>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</si>
  <si>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</si>
  <si>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</si>
  <si>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</si>
  <si>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</si>
  <si>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</si>
  <si>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</si>
  <si>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</si>
  <si>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</si>
  <si>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</si>
  <si>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</si>
  <si>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</si>
  <si>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</si>
  <si>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</si>
  <si>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</si>
  <si>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</si>
  <si>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</si>
  <si>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</si>
  <si>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</si>
  <si>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</si>
  <si>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</si>
  <si>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</si>
  <si>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</si>
  <si>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</si>
  <si>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</si>
  <si>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</si>
  <si>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</si>
  <si>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</si>
  <si>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</si>
  <si>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</si>
  <si>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</si>
  <si>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</si>
  <si>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</si>
  <si>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</si>
  <si>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</si>
  <si>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</si>
  <si>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</si>
  <si>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</si>
  <si>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</si>
  <si>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</si>
  <si>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</si>
  <si>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</si>
  <si>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</si>
  <si>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</si>
  <si>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</si>
  <si>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</si>
  <si>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</si>
  <si>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</si>
  <si>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</si>
  <si>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</si>
  <si>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</si>
  <si>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</si>
  <si>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</si>
  <si>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</si>
  <si>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</si>
  <si>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</si>
  <si>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</si>
  <si>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</si>
  <si>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</si>
  <si>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</si>
  <si>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</si>
  <si>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</si>
  <si>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</si>
  <si>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</si>
  <si>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</si>
  <si>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</si>
  <si>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</si>
  <si>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</si>
  <si>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</si>
  <si>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</si>
  <si>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</si>
  <si>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</si>
  <si>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</si>
  <si>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</si>
  <si>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</si>
  <si>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</si>
  <si>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</si>
  <si>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</si>
  <si>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</si>
  <si>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</si>
  <si>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</si>
  <si>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</si>
  <si>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</si>
  <si>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</si>
  <si>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</si>
  <si>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</si>
  <si>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</si>
  <si>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</si>
  <si>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</si>
  <si>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</si>
  <si>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</si>
  <si>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</si>
  <si>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</si>
  <si>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</si>
  <si>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</si>
  <si>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</si>
  <si>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</si>
  <si>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</si>
  <si>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</si>
  <si>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</si>
  <si>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</si>
  <si>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</si>
  <si>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</si>
  <si>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</si>
  <si>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</si>
  <si>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</si>
  <si>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</si>
  <si>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</si>
  <si>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</si>
  <si>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</si>
  <si>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</si>
  <si>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</si>
  <si>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</si>
  <si>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</si>
  <si>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</si>
  <si>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</si>
  <si>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</si>
  <si>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</si>
  <si>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</si>
  <si>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</si>
  <si>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</si>
  <si>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</si>
  <si>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</si>
  <si>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</si>
  <si>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</si>
  <si>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</si>
  <si>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</si>
  <si>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</si>
  <si>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</si>
  <si>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</si>
  <si>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</si>
  <si>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</si>
  <si>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</si>
  <si>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</si>
  <si>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</si>
  <si>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</si>
  <si>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</si>
  <si>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</si>
  <si>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</si>
  <si>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</si>
  <si>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</si>
  <si>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</si>
  <si>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</si>
  <si>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</si>
  <si>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</si>
  <si>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</si>
  <si>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</si>
  <si>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</si>
  <si>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</si>
  <si>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</si>
  <si>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</si>
  <si>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</si>
  <si>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</si>
  <si>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</si>
  <si>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</si>
  <si>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</si>
  <si>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</si>
  <si>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</si>
  <si>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</si>
  <si>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</si>
  <si>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</si>
  <si>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</si>
  <si>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</si>
  <si>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</si>
  <si>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</si>
  <si>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</si>
  <si>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</si>
  <si>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</si>
  <si>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</si>
  <si>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</si>
  <si>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</si>
  <si>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</si>
  <si>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</si>
  <si>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</si>
  <si>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</si>
  <si>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</si>
  <si>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</si>
  <si>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</si>
  <si>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</si>
  <si>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</si>
  <si>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</si>
  <si>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</si>
  <si>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</si>
  <si>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</si>
  <si>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</si>
  <si>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</si>
  <si>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</si>
  <si>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</si>
  <si>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</si>
  <si>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</si>
  <si>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</si>
  <si>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</si>
  <si>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</si>
  <si>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</si>
  <si>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</si>
  <si>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</si>
  <si>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</si>
  <si>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</si>
  <si>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</si>
  <si>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</si>
  <si>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</si>
  <si>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</si>
  <si>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</si>
  <si>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</si>
  <si>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</si>
  <si>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</si>
  <si>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</si>
  <si>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</si>
  <si>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</si>
  <si>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</si>
  <si>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</si>
  <si>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</si>
  <si>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</si>
  <si>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</si>
  <si>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</si>
  <si>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</si>
  <si>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</si>
  <si>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</si>
  <si>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</si>
  <si>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</si>
  <si>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</si>
  <si>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</si>
  <si>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</si>
  <si>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</si>
  <si>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</si>
  <si>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</si>
  <si>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</si>
  <si>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</si>
  <si>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</si>
  <si>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</si>
  <si>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</si>
  <si>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</si>
  <si>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</si>
  <si>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</si>
  <si>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</si>
  <si>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</si>
  <si>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</si>
  <si>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</si>
  <si>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</si>
  <si>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</si>
  <si>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</si>
  <si>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</si>
  <si>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</si>
  <si>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</si>
  <si>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</si>
  <si>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</si>
  <si>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</si>
  <si>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</si>
  <si>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</si>
  <si>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</si>
  <si>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</si>
  <si>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</si>
  <si>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</si>
  <si>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</si>
  <si>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</si>
  <si>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</si>
  <si>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</si>
  <si>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</si>
  <si>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</si>
  <si>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</si>
  <si>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</si>
  <si>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</si>
  <si>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</si>
  <si>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</si>
  <si>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</si>
  <si>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</si>
  <si>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</si>
  <si>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</si>
  <si>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</si>
  <si>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</si>
  <si>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</si>
  <si>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</si>
  <si>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</si>
  <si>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</si>
  <si>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</si>
  <si>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</si>
  <si>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</si>
  <si>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</si>
  <si>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</si>
  <si>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</si>
  <si>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</si>
  <si>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</si>
  <si>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</si>
  <si>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</si>
  <si>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</si>
  <si>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</si>
  <si>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</si>
  <si>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</si>
  <si>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</si>
  <si>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</si>
  <si>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</si>
  <si>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</si>
  <si>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</si>
  <si>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</si>
  <si>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</si>
  <si>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</si>
  <si>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</si>
  <si>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</si>
  <si>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</si>
  <si>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</si>
  <si>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</si>
  <si>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</si>
  <si>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</si>
  <si>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</si>
  <si>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</si>
  <si>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</si>
  <si>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</si>
  <si>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</si>
  <si>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</si>
  <si>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</si>
  <si>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</si>
  <si>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</si>
  <si>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</si>
  <si>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</si>
  <si>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</si>
  <si>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</si>
  <si>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</si>
  <si>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</si>
  <si>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</si>
  <si>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</si>
  <si>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</si>
  <si>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</si>
  <si>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</si>
  <si>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</si>
  <si>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</si>
  <si>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</si>
  <si>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</si>
  <si>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</si>
  <si>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</si>
  <si>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</si>
  <si>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</si>
  <si>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</si>
  <si>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</si>
  <si>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</si>
  <si>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</si>
  <si>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</si>
  <si>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</si>
  <si>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</si>
  <si>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</si>
  <si>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</si>
  <si>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</si>
  <si>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</si>
  <si>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</si>
  <si>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</si>
  <si>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</si>
  <si>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</si>
  <si>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</si>
  <si>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</si>
  <si>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</si>
  <si>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</si>
  <si>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</si>
  <si>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</si>
  <si>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</si>
  <si>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</si>
  <si>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</si>
  <si>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</si>
  <si>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</si>
  <si>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</si>
  <si>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</si>
  <si>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</si>
  <si>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</si>
  <si>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</si>
  <si>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</si>
  <si>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</si>
  <si>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</si>
  <si>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</si>
  <si>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</si>
  <si>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</si>
  <si>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</si>
  <si>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</si>
  <si>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</si>
  <si>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</si>
  <si>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</si>
  <si>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</si>
  <si>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</si>
  <si>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</si>
  <si>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</si>
  <si>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</si>
  <si>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</si>
  <si>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</si>
  <si>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</si>
  <si>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</si>
  <si>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</si>
  <si>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</si>
  <si>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</si>
  <si>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</si>
  <si>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</si>
  <si>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</si>
  <si>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</si>
  <si>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</si>
  <si>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</si>
  <si>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</si>
  <si>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</si>
  <si>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</si>
  <si>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</si>
  <si>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</si>
  <si>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</si>
  <si>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</si>
  <si>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</si>
  <si>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</si>
  <si>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</si>
  <si>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</si>
  <si>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</si>
  <si>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</si>
  <si>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</si>
  <si>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</si>
  <si>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</si>
  <si>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</si>
  <si>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</si>
  <si>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</si>
  <si>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</si>
  <si>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</si>
  <si>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</si>
  <si>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</si>
  <si>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</si>
  <si>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</si>
  <si>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</si>
  <si>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</si>
  <si>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</si>
  <si>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</si>
  <si>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</si>
  <si>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</si>
  <si>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</si>
  <si>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</si>
  <si>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</si>
  <si>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</si>
  <si>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</si>
  <si>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</si>
  <si>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</si>
  <si>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</si>
  <si>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</si>
  <si>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</si>
  <si>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</si>
  <si>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</si>
  <si>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</si>
  <si>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</si>
  <si>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</si>
  <si>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</si>
  <si>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</si>
  <si>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</si>
  <si>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</si>
  <si>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</si>
  <si>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</si>
  <si>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</si>
  <si>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</si>
  <si>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</si>
  <si>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</si>
  <si>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</si>
  <si>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</si>
  <si>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</si>
  <si>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</si>
  <si>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</si>
  <si>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</si>
  <si>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</si>
  <si>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</si>
  <si>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</si>
  <si>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</si>
  <si>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</si>
  <si>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</si>
  <si>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</si>
  <si>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</si>
  <si>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</si>
  <si>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</si>
  <si>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</si>
  <si>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</si>
  <si>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</si>
  <si>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</si>
  <si>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</si>
  <si>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</si>
  <si>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</si>
  <si>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</si>
  <si>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</si>
  <si>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</si>
  <si>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</si>
  <si>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</si>
  <si>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</si>
  <si>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</si>
  <si>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</si>
  <si>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</si>
  <si>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</si>
  <si>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</si>
  <si>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</si>
  <si>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</si>
  <si>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</si>
  <si>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</si>
  <si>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</si>
  <si>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</si>
  <si>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</si>
  <si>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</si>
  <si>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</si>
  <si>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</si>
  <si>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</si>
  <si>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</si>
  <si>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</si>
  <si>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</si>
  <si>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</si>
  <si>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</si>
  <si>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</si>
  <si>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</si>
  <si>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</si>
  <si>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</si>
  <si>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</si>
  <si>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</si>
  <si>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</si>
  <si>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</si>
  <si>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</si>
  <si>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</si>
  <si>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</si>
  <si>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</si>
  <si>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</si>
  <si>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</si>
  <si>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</si>
  <si>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</si>
  <si>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</si>
  <si>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</si>
  <si>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</si>
  <si>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</si>
  <si>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</si>
  <si>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</si>
  <si>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</si>
  <si>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</si>
  <si>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</si>
  <si>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</si>
  <si>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</si>
  <si>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</si>
  <si>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</si>
  <si>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</si>
  <si>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</si>
  <si>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</si>
  <si>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</si>
  <si>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</si>
  <si>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</si>
  <si>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</si>
  <si>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</si>
  <si>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</si>
  <si>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</si>
  <si>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</si>
  <si>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</si>
  <si>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</si>
  <si>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</si>
  <si>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</si>
  <si>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</si>
  <si>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</si>
  <si>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</si>
  <si>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</si>
  <si>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</si>
  <si>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</si>
  <si>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</si>
  <si>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</si>
  <si>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</si>
  <si>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</si>
  <si>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</si>
  <si>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</si>
  <si>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</si>
  <si>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</si>
  <si>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</si>
  <si>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</si>
  <si>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</si>
  <si>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</si>
  <si>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</si>
  <si>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</si>
  <si>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</si>
  <si>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</si>
  <si>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</si>
  <si>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</si>
  <si>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</si>
  <si>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</si>
  <si>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</si>
  <si>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</si>
  <si>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</si>
  <si>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</si>
  <si>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</si>
  <si>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</si>
  <si>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</si>
  <si>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</si>
  <si>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</si>
  <si>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</si>
  <si>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</si>
  <si>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</si>
  <si>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</si>
  <si>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</si>
  <si>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</si>
  <si>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</si>
  <si>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</si>
  <si>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</si>
  <si>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</si>
  <si>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</si>
  <si>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</si>
  <si>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</si>
  <si>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</si>
  <si>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</si>
  <si>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</si>
  <si>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</si>
  <si>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</si>
  <si>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</si>
  <si>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</si>
  <si>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</si>
  <si>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</si>
  <si>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</si>
  <si>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</si>
  <si>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</si>
  <si>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</si>
  <si>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</si>
  <si>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</si>
  <si>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</si>
  <si>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</si>
  <si>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</si>
  <si>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</si>
  <si>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</si>
  <si>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</si>
  <si>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</si>
  <si>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</si>
  <si>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</si>
  <si>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</si>
  <si>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</si>
  <si>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</si>
  <si>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</si>
  <si>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</si>
  <si>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</si>
  <si>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</si>
  <si>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</si>
  <si>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</si>
  <si>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</si>
  <si>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</si>
  <si>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</si>
  <si>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</si>
  <si>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</si>
  <si>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</si>
  <si>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</si>
  <si>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</si>
  <si>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</si>
  <si>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</si>
  <si>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</si>
  <si>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</si>
  <si>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</si>
  <si>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</si>
  <si>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</si>
  <si>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</si>
  <si>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</si>
  <si>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</si>
  <si>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</si>
  <si>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</si>
  <si>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</si>
  <si>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</si>
  <si>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</si>
  <si>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</si>
  <si>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</si>
  <si>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</si>
  <si>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</si>
  <si>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</si>
  <si>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</si>
  <si>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</si>
  <si>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</si>
  <si>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</si>
  <si>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</si>
  <si>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</si>
  <si>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</si>
  <si>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</si>
  <si>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</si>
  <si>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</si>
  <si>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</si>
  <si>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</si>
  <si>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</si>
  <si>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</si>
  <si>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</si>
  <si>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</si>
  <si>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</si>
  <si>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</si>
  <si>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</si>
  <si>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</si>
  <si>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</si>
  <si>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</si>
  <si>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</si>
  <si>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</si>
  <si>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</si>
  <si>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</si>
  <si>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</si>
  <si>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</si>
  <si>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</si>
  <si>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</si>
  <si>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</si>
  <si>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</si>
  <si>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</si>
  <si>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</si>
  <si>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</si>
  <si>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</si>
  <si>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</si>
  <si>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</si>
  <si>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</si>
  <si>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</si>
  <si>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</si>
  <si>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</si>
  <si>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</si>
  <si>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</si>
  <si>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</si>
  <si>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</si>
  <si>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</si>
  <si>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</si>
  <si>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</si>
  <si>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</si>
  <si>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</si>
  <si>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</si>
  <si>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</si>
  <si>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</si>
  <si>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</si>
  <si>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</si>
  <si>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</si>
  <si>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</si>
  <si>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</si>
  <si>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</si>
  <si>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</si>
  <si>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</si>
  <si>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</si>
  <si>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</si>
  <si>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</si>
  <si>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</si>
  <si>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</si>
  <si>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</si>
  <si>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</si>
  <si>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</si>
  <si>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</si>
  <si>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</si>
  <si>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</si>
  <si>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</si>
  <si>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</si>
  <si>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</si>
  <si>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</si>
  <si>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</si>
  <si>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</si>
  <si>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</si>
  <si>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</si>
  <si>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</si>
  <si>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</si>
  <si>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</si>
  <si>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</si>
  <si>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</si>
  <si>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</si>
  <si>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</si>
  <si>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</si>
  <si>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</si>
  <si>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</si>
  <si>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</si>
  <si>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</si>
  <si>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</si>
  <si>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</si>
  <si>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</si>
  <si>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</si>
  <si>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</si>
  <si>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</si>
  <si>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</si>
  <si>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</si>
  <si>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</si>
  <si>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</si>
  <si>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</si>
  <si>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</si>
  <si>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</si>
  <si>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</si>
  <si>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</si>
  <si>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</si>
  <si>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</si>
  <si>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</si>
  <si>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</si>
  <si>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</si>
  <si>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</si>
  <si>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</si>
  <si>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</si>
  <si>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</si>
  <si>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</si>
  <si>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</si>
  <si>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</si>
  <si>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</si>
  <si>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</si>
  <si>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</si>
  <si>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</si>
  <si>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</si>
  <si>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</si>
  <si>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</si>
  <si>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</si>
  <si>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</si>
  <si>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</si>
  <si>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</si>
  <si>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</si>
  <si>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</si>
  <si>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</si>
  <si>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</si>
  <si>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</si>
  <si>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</si>
  <si>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</si>
  <si>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</si>
  <si>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</si>
  <si>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</si>
  <si>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</si>
  <si>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</si>
  <si>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</si>
  <si>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</si>
  <si>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</si>
  <si>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</si>
  <si>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</si>
  <si>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</si>
  <si>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</si>
  <si>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</si>
  <si>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</si>
  <si>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</si>
  <si>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</si>
  <si>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</si>
  <si>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</si>
  <si>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</si>
  <si>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</si>
  <si>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</si>
  <si>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</si>
  <si>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</si>
  <si>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</si>
  <si>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</si>
  <si>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</si>
  <si>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</si>
  <si>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</si>
  <si>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</si>
  <si>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</si>
  <si>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</si>
  <si>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</si>
  <si>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</si>
  <si>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</si>
  <si>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</si>
  <si>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</si>
  <si>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</si>
  <si>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</si>
  <si>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</si>
  <si>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</si>
  <si>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</si>
  <si>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</si>
  <si>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</si>
  <si>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</si>
  <si>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</si>
  <si>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</si>
  <si>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</si>
  <si>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</si>
  <si>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</si>
  <si>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</si>
  <si>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</si>
  <si>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</si>
  <si>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</si>
  <si>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</si>
  <si>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</si>
  <si>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</si>
  <si>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</si>
  <si>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</si>
  <si>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</si>
  <si>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</si>
  <si>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</si>
  <si>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</si>
  <si>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</si>
  <si>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</si>
  <si>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</si>
  <si>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</si>
  <si>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</si>
  <si>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</si>
  <si>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</si>
  <si>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</si>
  <si>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</si>
  <si>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</si>
  <si>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</si>
  <si>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</si>
  <si>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</si>
  <si>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</si>
  <si>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</si>
  <si>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</si>
  <si>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</si>
  <si>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</si>
  <si>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</si>
  <si>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</si>
  <si>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</si>
  <si>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</si>
  <si>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</si>
  <si>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</si>
  <si>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</si>
  <si>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</si>
  <si>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</si>
  <si>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</si>
  <si>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</si>
  <si>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</si>
  <si>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</si>
  <si>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</si>
  <si>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</si>
  <si>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</si>
  <si>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</si>
  <si>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</si>
  <si>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</si>
  <si>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</si>
  <si>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</si>
  <si>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</si>
  <si>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</si>
  <si>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</si>
  <si>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</si>
  <si>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</si>
  <si>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</si>
  <si>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</si>
  <si>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</si>
  <si>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</si>
  <si>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</si>
  <si>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</si>
  <si>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</si>
  <si>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</si>
  <si>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</si>
  <si>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</si>
  <si>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</si>
  <si>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</si>
  <si>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</si>
  <si>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</si>
  <si>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</si>
  <si>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</si>
  <si>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</si>
  <si>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</si>
  <si>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</si>
  <si>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</si>
  <si>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</si>
  <si>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</si>
  <si>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</si>
  <si>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</si>
  <si>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</si>
  <si>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</si>
  <si>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</si>
  <si>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</si>
  <si>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</si>
  <si>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</si>
  <si>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</si>
  <si>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</si>
  <si>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</si>
  <si>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</si>
  <si>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</si>
  <si>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</si>
  <si>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</si>
  <si>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</si>
  <si>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</si>
  <si>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</si>
  <si>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</si>
  <si>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</si>
  <si>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</si>
  <si>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</si>
  <si>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</si>
  <si>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</si>
  <si>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</si>
  <si>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</si>
  <si>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</si>
  <si>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</si>
  <si>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</si>
  <si>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</si>
  <si>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</si>
  <si>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</si>
  <si>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</si>
  <si>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</si>
  <si>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</si>
  <si>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</si>
  <si>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</si>
  <si>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</si>
  <si>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</si>
  <si>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</si>
  <si>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</si>
  <si>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</si>
  <si>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</si>
  <si>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</si>
  <si>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</si>
  <si>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</si>
  <si>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</si>
  <si>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</si>
  <si>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</si>
  <si>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</si>
  <si>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</si>
  <si>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</si>
  <si>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</si>
  <si>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</si>
  <si>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</si>
  <si>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</si>
  <si>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</si>
  <si>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</si>
  <si>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</si>
  <si>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</si>
  <si>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</si>
  <si>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</si>
  <si>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</si>
  <si>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</si>
  <si>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</si>
  <si>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</si>
  <si>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</si>
  <si>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</si>
  <si>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</si>
  <si>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</si>
  <si>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</si>
  <si>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</si>
  <si>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</si>
  <si>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</si>
  <si>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</si>
  <si>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</si>
  <si>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</si>
  <si>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</si>
  <si>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</si>
  <si>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</si>
  <si>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</si>
  <si>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</si>
  <si>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</si>
  <si>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</si>
  <si>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</si>
  <si>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</si>
  <si>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</si>
  <si>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</si>
  <si>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</si>
  <si>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</si>
  <si>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</si>
  <si>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</si>
  <si>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</si>
  <si>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</si>
  <si>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</si>
  <si>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</si>
  <si>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</si>
  <si>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</si>
  <si>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</si>
  <si>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</si>
  <si>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</si>
  <si>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</si>
  <si>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</si>
  <si>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</si>
  <si>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</si>
  <si>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</si>
  <si>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</si>
  <si>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</si>
  <si>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</si>
  <si>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</si>
  <si>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</si>
  <si>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</si>
  <si>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</si>
  <si>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</si>
  <si>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</si>
  <si>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</si>
  <si>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</si>
  <si>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</si>
  <si>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</si>
  <si>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</si>
  <si>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</si>
  <si>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</si>
  <si>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</si>
  <si>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</si>
  <si>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</si>
  <si>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</si>
  <si>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</si>
  <si>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</si>
  <si>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</si>
  <si>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</si>
  <si>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</si>
  <si>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</si>
  <si>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</si>
  <si>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</si>
  <si>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</si>
  <si>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</si>
  <si>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</si>
  <si>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</si>
  <si>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</si>
  <si>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</si>
  <si>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</si>
  <si>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</si>
  <si>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</si>
  <si>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</si>
  <si>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</si>
  <si>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</si>
  <si>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</si>
  <si>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</si>
  <si>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</si>
  <si>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</si>
  <si>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</si>
  <si>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</si>
  <si>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</si>
  <si>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</si>
  <si>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</si>
  <si>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</si>
  <si>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</si>
  <si>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</si>
  <si>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</si>
  <si>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</si>
  <si>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</si>
  <si>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</si>
  <si>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</si>
  <si>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</si>
  <si>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</si>
  <si>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</si>
  <si>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</si>
  <si>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</si>
  <si>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</si>
  <si>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</si>
  <si>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</si>
  <si>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</si>
  <si>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</si>
  <si>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</si>
  <si>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</si>
  <si>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</si>
  <si>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</si>
  <si>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</si>
  <si>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</si>
  <si>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</si>
  <si>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</si>
  <si>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</si>
  <si>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</si>
  <si>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</si>
  <si>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</si>
  <si>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</si>
  <si>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</si>
  <si>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</si>
  <si>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</si>
  <si>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</si>
  <si>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</si>
  <si>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</si>
  <si>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</si>
  <si>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</si>
  <si>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</si>
  <si>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</si>
  <si>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</si>
  <si>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</si>
  <si>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</si>
  <si>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</si>
  <si>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</si>
  <si>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</si>
  <si>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</si>
  <si>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</si>
  <si>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</si>
  <si>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</si>
  <si>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</si>
  <si>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</si>
  <si>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</si>
  <si>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</si>
  <si>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</si>
  <si>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</si>
  <si>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</si>
  <si>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</si>
  <si>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</si>
  <si>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</si>
  <si>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</si>
  <si>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</si>
  <si>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</si>
  <si>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</si>
  <si>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</si>
  <si>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</si>
  <si>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</si>
  <si>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</si>
  <si>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</si>
  <si>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</si>
  <si>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</si>
  <si>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</si>
  <si>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</si>
  <si>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</si>
  <si>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</si>
  <si>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</si>
  <si>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</si>
  <si>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</si>
  <si>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</si>
  <si>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</si>
  <si>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</si>
  <si>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</si>
  <si>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</si>
  <si>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</si>
  <si>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</si>
  <si>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</si>
  <si>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</si>
  <si>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</si>
  <si>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</si>
  <si>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</si>
  <si>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</si>
  <si>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</si>
  <si>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</si>
  <si>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</si>
  <si>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</si>
  <si>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</si>
  <si>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</si>
  <si>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</si>
  <si>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</si>
  <si>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</si>
  <si>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</si>
  <si>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</si>
  <si>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</si>
  <si>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</si>
  <si>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</si>
  <si>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</si>
  <si>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</si>
  <si>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</si>
  <si>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</si>
  <si>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</si>
  <si>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</si>
  <si>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</si>
  <si>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</si>
  <si>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</si>
  <si>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</si>
  <si>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</si>
  <si>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</si>
  <si>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</si>
  <si>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</si>
  <si>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</si>
  <si>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</si>
  <si>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</si>
  <si>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</si>
  <si>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</si>
  <si>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</si>
  <si>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</si>
  <si>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</si>
  <si>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</si>
  <si>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</si>
  <si>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</si>
  <si>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</si>
  <si>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</si>
  <si>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</si>
  <si>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</si>
  <si>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</si>
  <si>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</si>
  <si>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</si>
  <si>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</si>
  <si>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</si>
  <si>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</si>
  <si>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</si>
  <si>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</si>
  <si>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</si>
  <si>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</si>
  <si>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</si>
  <si>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</si>
  <si>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</si>
  <si>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</si>
  <si>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</si>
  <si>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</si>
  <si>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</si>
  <si>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</si>
  <si>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</si>
  <si>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</si>
  <si>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</si>
  <si>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</si>
  <si>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</si>
  <si>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</si>
  <si>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</si>
  <si>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</si>
  <si>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</si>
  <si>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</si>
  <si>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</si>
  <si>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</si>
  <si>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</si>
  <si>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</si>
  <si>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</si>
  <si>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</si>
  <si>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</si>
  <si>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</si>
  <si>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</si>
  <si>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</si>
  <si>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</si>
  <si>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</si>
  <si>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</si>
  <si>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</si>
  <si>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</si>
  <si>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</si>
  <si>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</si>
  <si>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</si>
  <si>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</si>
  <si>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</si>
  <si>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</si>
  <si>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</si>
  <si>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</si>
  <si>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</si>
  <si>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</si>
  <si>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</si>
  <si>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</si>
  <si>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</si>
  <si>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</si>
  <si>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</si>
  <si>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</si>
  <si>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</si>
  <si>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</si>
  <si>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</si>
  <si>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</si>
  <si>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</si>
  <si>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</si>
  <si>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</si>
  <si>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</si>
  <si>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</si>
  <si>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</si>
  <si>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</si>
  <si>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</si>
  <si>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</si>
  <si>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</si>
  <si>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</si>
  <si>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</si>
  <si>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</si>
  <si>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</si>
  <si>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</si>
  <si>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</si>
  <si>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</si>
  <si>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</si>
  <si>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</si>
  <si>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</si>
  <si>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</si>
  <si>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</si>
  <si>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</si>
  <si>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</si>
  <si>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</si>
  <si>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</si>
  <si>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</si>
  <si>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</si>
  <si>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</si>
  <si>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</si>
  <si>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</si>
  <si>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</si>
  <si>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</si>
  <si>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</si>
  <si>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</si>
  <si>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</si>
  <si>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</si>
  <si>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</si>
  <si>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</si>
  <si>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</si>
  <si>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</si>
  <si>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</si>
  <si>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</si>
  <si>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</si>
  <si>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</si>
  <si>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</si>
  <si>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</si>
  <si>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</si>
  <si>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</si>
  <si>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</si>
  <si>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</si>
  <si>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</si>
  <si>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</si>
  <si>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</si>
  <si>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</si>
  <si>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</si>
  <si>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</si>
  <si>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</si>
  <si>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</si>
  <si>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</si>
  <si>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</si>
  <si>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</si>
  <si>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</si>
  <si>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</si>
  <si>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</si>
  <si>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</si>
  <si>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</si>
  <si>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</si>
  <si>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</si>
  <si>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</si>
  <si>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</si>
  <si>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</si>
  <si>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</si>
  <si>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</si>
  <si>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</si>
  <si>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</si>
  <si>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</si>
  <si>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</si>
  <si>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</si>
  <si>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</si>
  <si>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</si>
  <si>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</si>
  <si>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</si>
  <si>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</si>
  <si>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</si>
  <si>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</si>
  <si>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</si>
  <si>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</si>
  <si>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</si>
  <si>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</si>
  <si>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</si>
  <si>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</si>
  <si>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</si>
  <si>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</si>
  <si>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</si>
  <si>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</si>
  <si>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</si>
  <si>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</si>
  <si>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</si>
  <si>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</si>
  <si>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</si>
  <si>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</si>
  <si>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</si>
  <si>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</si>
  <si>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</si>
  <si>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</si>
  <si>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</si>
  <si>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</si>
  <si>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</si>
  <si>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</si>
  <si>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</si>
  <si>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</si>
  <si>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</si>
  <si>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</si>
  <si>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</si>
  <si>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</si>
  <si>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</si>
  <si>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</si>
  <si>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</si>
  <si>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</si>
  <si>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</si>
  <si>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</si>
  <si>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</si>
  <si>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</si>
  <si>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</si>
  <si>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</si>
  <si>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</si>
  <si>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</si>
  <si>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</si>
  <si>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</si>
  <si>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</si>
  <si>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</si>
  <si>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</si>
  <si>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</si>
  <si>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</si>
  <si>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</si>
  <si>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</si>
  <si>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</si>
  <si>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</si>
  <si>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</si>
  <si>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</si>
  <si>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</si>
  <si>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</si>
  <si>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</si>
  <si>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</si>
  <si>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</si>
  <si>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</si>
  <si>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</si>
  <si>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</si>
  <si>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</si>
  <si>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</si>
  <si>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</si>
  <si>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</si>
  <si>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</si>
  <si>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</si>
  <si>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</si>
  <si>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</si>
  <si>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</si>
  <si>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</si>
  <si>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</si>
  <si>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</si>
  <si>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</si>
  <si>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</si>
  <si>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</si>
  <si>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</si>
  <si>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</si>
  <si>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</si>
  <si>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</si>
  <si>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</si>
  <si>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</si>
  <si>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</si>
  <si>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</si>
  <si>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</si>
  <si>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</si>
  <si>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</si>
  <si>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</si>
  <si>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</si>
  <si>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</si>
  <si>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</si>
  <si>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</si>
  <si>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</si>
  <si>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</si>
  <si>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</si>
  <si>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</si>
  <si>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</si>
  <si>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</si>
  <si>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</si>
  <si>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</si>
  <si>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</si>
  <si>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</si>
  <si>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</si>
  <si>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</si>
  <si>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</si>
  <si>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</si>
  <si>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</si>
  <si>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</si>
  <si>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</si>
  <si>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</si>
  <si>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</si>
  <si>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</si>
  <si>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</si>
  <si>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</si>
  <si>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</si>
  <si>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</si>
  <si>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</si>
  <si>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</si>
  <si>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</si>
  <si>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</si>
  <si>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</si>
  <si>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</si>
  <si>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</si>
  <si>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</si>
  <si>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</si>
  <si>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</si>
  <si>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</si>
  <si>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</si>
  <si>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</si>
  <si>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</si>
  <si>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</si>
  <si>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</si>
  <si>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</si>
  <si>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</si>
  <si>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</si>
  <si>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</si>
  <si>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</si>
  <si>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</si>
  <si>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</si>
  <si>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</si>
  <si>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</si>
  <si>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</si>
  <si>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</si>
  <si>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</si>
  <si>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</si>
  <si>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</si>
  <si>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</si>
  <si>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</si>
  <si>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</si>
  <si>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</si>
  <si>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</si>
  <si>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</si>
  <si>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</si>
  <si>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</si>
  <si>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</si>
  <si>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</si>
  <si>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</si>
  <si>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</si>
  <si>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</si>
  <si>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</si>
  <si>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</si>
  <si>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</si>
  <si>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</si>
  <si>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</si>
  <si>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</si>
  <si>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</si>
  <si>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</si>
  <si>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</si>
  <si>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</si>
  <si>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</si>
  <si>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</si>
  <si>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</si>
  <si>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</si>
  <si>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</si>
  <si>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</si>
  <si>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</si>
  <si>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</si>
  <si>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</si>
  <si>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</si>
  <si>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</si>
  <si>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</si>
  <si>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</si>
  <si>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</si>
  <si>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</si>
  <si>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</si>
  <si>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</si>
  <si>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</si>
  <si>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</si>
  <si>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</si>
  <si>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</si>
  <si>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</si>
  <si>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</si>
  <si>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</si>
  <si>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</si>
  <si>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</si>
  <si>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</si>
  <si>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</si>
  <si>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</si>
  <si>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</si>
  <si>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</si>
  <si>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</si>
  <si>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</si>
  <si>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</si>
  <si>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</si>
  <si>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</si>
  <si>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</si>
  <si>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</si>
  <si>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</si>
  <si>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</si>
  <si>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</si>
  <si>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</si>
  <si>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</si>
  <si>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</si>
  <si>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</si>
  <si>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</si>
  <si>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</si>
  <si>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</si>
  <si>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</si>
  <si>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</si>
  <si>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</si>
  <si>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</si>
  <si>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</si>
  <si>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</si>
  <si>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</si>
  <si>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</si>
  <si>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</si>
  <si>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</si>
  <si>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</si>
  <si>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</si>
  <si>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</si>
  <si>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</si>
  <si>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</si>
  <si>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</si>
  <si>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</si>
  <si>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</si>
  <si>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</si>
  <si>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</si>
  <si>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</si>
  <si>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</si>
  <si>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</si>
  <si>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</si>
  <si>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</si>
  <si>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</si>
  <si>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</si>
  <si>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</si>
  <si>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</si>
  <si>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</si>
  <si>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</si>
  <si>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</si>
  <si>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</si>
  <si>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</si>
  <si>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</si>
  <si>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</si>
  <si>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</si>
  <si>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</si>
  <si>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</si>
  <si>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</si>
  <si>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</si>
  <si>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</si>
  <si>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</si>
  <si>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</si>
  <si>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</si>
  <si>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</si>
  <si>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</si>
  <si>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</si>
  <si>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</si>
  <si>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</si>
  <si>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</si>
  <si>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</si>
  <si>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</si>
  <si>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</si>
  <si>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</si>
  <si>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</si>
  <si>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</si>
  <si>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</si>
  <si>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</si>
  <si>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</si>
  <si>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</si>
  <si>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</si>
  <si>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</si>
  <si>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</si>
  <si>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</si>
  <si>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</si>
  <si>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</si>
  <si>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</si>
  <si>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</si>
  <si>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</si>
  <si>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</si>
  <si>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</si>
  <si>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</si>
  <si>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</si>
  <si>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</si>
  <si>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</si>
  <si>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</si>
  <si>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</si>
  <si>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</si>
  <si>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</si>
  <si>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</si>
  <si>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</si>
  <si>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</si>
  <si>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</si>
  <si>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</si>
  <si>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</si>
  <si>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</si>
  <si>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</si>
  <si>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</si>
  <si>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</si>
  <si>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</si>
  <si>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</si>
  <si>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</si>
  <si>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</si>
  <si>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</si>
  <si>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</si>
  <si>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</si>
  <si>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</si>
  <si>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</si>
  <si>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</si>
  <si>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</si>
  <si>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</si>
  <si>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</si>
  <si>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</si>
  <si>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</si>
  <si>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</si>
  <si>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</si>
  <si>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</si>
  <si>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</si>
  <si>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</si>
  <si>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</si>
  <si>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</si>
  <si>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</si>
  <si>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</si>
  <si>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</si>
  <si>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</si>
  <si>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</si>
  <si>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</si>
  <si>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</si>
  <si>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</si>
  <si>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</si>
  <si>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</si>
  <si>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</si>
  <si>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</si>
  <si>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</si>
  <si>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</si>
  <si>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</si>
  <si>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</si>
  <si>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</si>
  <si>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</si>
  <si>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</si>
  <si>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</si>
  <si>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</si>
  <si>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</si>
  <si>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</si>
  <si>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</si>
  <si>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</si>
  <si>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</si>
  <si>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</si>
  <si>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</si>
  <si>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</si>
  <si>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</si>
  <si>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</si>
  <si>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</si>
  <si>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</si>
  <si>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</si>
  <si>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</si>
  <si>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</si>
  <si>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</si>
  <si>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</si>
  <si>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</si>
  <si>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</si>
  <si>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</si>
  <si>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</si>
  <si>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</si>
  <si>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</si>
  <si>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</si>
  <si>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</si>
  <si>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</si>
  <si>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</si>
  <si>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</si>
  <si>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</si>
  <si>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</si>
  <si>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</si>
  <si>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</si>
  <si>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</si>
  <si>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</si>
  <si>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</si>
  <si>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</si>
  <si>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</si>
  <si>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</si>
  <si>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</si>
  <si>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</si>
  <si>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</si>
  <si>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</si>
  <si>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</si>
  <si>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</si>
  <si>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</si>
  <si>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</si>
  <si>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</si>
  <si>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</si>
  <si>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</si>
  <si>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</si>
  <si>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</si>
  <si>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</si>
  <si>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</si>
  <si>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</si>
  <si>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</si>
  <si>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</si>
  <si>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</si>
  <si>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</si>
  <si>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</si>
  <si>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</si>
  <si>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</si>
  <si>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</si>
  <si>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</si>
  <si>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</si>
  <si>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</si>
  <si>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</si>
  <si>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</si>
  <si>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</si>
  <si>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</si>
  <si>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</si>
  <si>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</si>
  <si>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</si>
  <si>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</si>
  <si>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</si>
  <si>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</si>
  <si>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</si>
  <si>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</si>
  <si>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</si>
  <si>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</si>
  <si>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</si>
  <si>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</si>
  <si>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</si>
  <si>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</si>
  <si>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</si>
  <si>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</si>
  <si>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</si>
  <si>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</si>
  <si>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</si>
  <si>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</si>
  <si>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</si>
  <si>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</si>
  <si>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</si>
  <si>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</si>
  <si>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</si>
  <si>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</si>
  <si>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</si>
  <si>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</si>
  <si>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</si>
  <si>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</si>
  <si>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</si>
  <si>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</si>
  <si>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</si>
  <si>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</si>
  <si>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</si>
  <si>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</si>
  <si>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</si>
  <si>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</si>
  <si>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</si>
  <si>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</si>
  <si>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</si>
  <si>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</si>
  <si>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</si>
  <si>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</si>
  <si>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</si>
  <si>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</si>
  <si>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</si>
  <si>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</si>
  <si>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</si>
  <si>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</si>
  <si>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</si>
  <si>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</si>
  <si>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</si>
  <si>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</si>
  <si>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</si>
  <si>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</si>
  <si>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</si>
  <si>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</si>
  <si>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</si>
  <si>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</si>
  <si>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</si>
  <si>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</si>
  <si>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</si>
  <si>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</si>
  <si>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</si>
  <si>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</si>
  <si>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</si>
  <si>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</si>
  <si>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</si>
  <si>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</si>
  <si>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</si>
  <si>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</si>
  <si>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</si>
  <si>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</si>
  <si>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</si>
  <si>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</si>
  <si>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</si>
  <si>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</si>
  <si>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</si>
  <si>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</si>
  <si>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</si>
  <si>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</si>
  <si>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</si>
  <si>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</si>
  <si>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</si>
  <si>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</si>
  <si>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</si>
  <si>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</si>
  <si>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</si>
  <si>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</si>
  <si>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</si>
  <si>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</si>
  <si>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</si>
  <si>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</si>
  <si>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</si>
  <si>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</si>
  <si>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</si>
  <si>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</si>
  <si>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</si>
  <si>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</si>
  <si>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</si>
  <si>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</si>
  <si>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</si>
  <si>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</si>
  <si>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</si>
  <si>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</si>
  <si>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</si>
  <si>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</si>
  <si>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</si>
  <si>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</si>
  <si>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</si>
  <si>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</si>
  <si>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</si>
  <si>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</si>
  <si>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</si>
  <si>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</si>
  <si>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</si>
  <si>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</si>
  <si>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</si>
  <si>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</si>
  <si>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</si>
  <si>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</si>
  <si>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</si>
  <si>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</si>
  <si>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</si>
  <si>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</si>
  <si>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</si>
  <si>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</si>
  <si>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</si>
  <si>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</si>
  <si>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</si>
  <si>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</si>
  <si>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</si>
  <si>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</si>
  <si>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</si>
  <si>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</si>
  <si>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</si>
  <si>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</si>
  <si>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</si>
  <si>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</si>
  <si>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</si>
  <si>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</si>
  <si>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</si>
  <si>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</si>
  <si>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</si>
  <si>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</si>
  <si>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</si>
  <si>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</si>
  <si>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</si>
  <si>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</si>
  <si>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</si>
  <si>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</si>
  <si>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</si>
  <si>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</si>
  <si>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</si>
  <si>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</si>
  <si>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</si>
  <si>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</si>
  <si>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</si>
  <si>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</si>
  <si>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</si>
  <si>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</si>
  <si>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</si>
  <si>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</si>
  <si>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</si>
  <si>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</si>
  <si>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</si>
  <si>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</si>
  <si>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</si>
  <si>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</si>
  <si>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</si>
  <si>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</si>
  <si>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</si>
  <si>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</si>
  <si>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</si>
  <si>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</si>
  <si>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</si>
  <si>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</si>
  <si>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</si>
  <si>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</si>
  <si>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</si>
  <si>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</si>
  <si>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</si>
  <si>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</si>
  <si>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</si>
  <si>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</si>
  <si>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</si>
  <si>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</si>
  <si>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</si>
  <si>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</si>
  <si>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</si>
  <si>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</si>
  <si>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</si>
  <si>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</si>
  <si>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</si>
  <si>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</si>
  <si>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</si>
  <si>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</si>
  <si>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</si>
  <si>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</si>
  <si>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</si>
  <si>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</si>
  <si>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</si>
  <si>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</si>
  <si>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</si>
  <si>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</si>
  <si>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</si>
  <si>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</si>
  <si>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</si>
  <si>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</si>
  <si>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</si>
  <si>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</si>
  <si>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</si>
  <si>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</si>
  <si>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</si>
  <si>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</si>
  <si>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</si>
  <si>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</si>
  <si>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</si>
  <si>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</si>
  <si>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</si>
  <si>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</si>
  <si>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</si>
  <si>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</si>
  <si>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</si>
  <si>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</si>
  <si>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</si>
  <si>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</si>
  <si>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</si>
  <si>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</si>
  <si>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</si>
  <si>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</si>
  <si>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</si>
  <si>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</si>
  <si>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</si>
  <si>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</si>
  <si>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</si>
  <si>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</si>
  <si>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</si>
  <si>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</si>
  <si>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</si>
  <si>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</si>
  <si>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</si>
  <si>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</si>
  <si>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</si>
  <si>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</si>
  <si>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</si>
  <si>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</si>
  <si>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</si>
  <si>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</si>
  <si>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</si>
  <si>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</si>
  <si>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</si>
  <si>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</si>
  <si>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</si>
  <si>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</si>
  <si>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</si>
  <si>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</si>
  <si>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</si>
  <si>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</si>
  <si>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</si>
  <si>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</si>
  <si>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</si>
  <si>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</si>
  <si>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</si>
  <si>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</si>
  <si>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</si>
  <si>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</si>
  <si>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</si>
  <si>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</si>
  <si>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</si>
  <si>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</si>
  <si>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</si>
  <si>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</si>
  <si>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</si>
  <si>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</si>
  <si>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</si>
  <si>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</si>
  <si>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</si>
  <si>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</si>
  <si>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</si>
  <si>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</si>
  <si>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</si>
  <si>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</si>
  <si>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</si>
  <si>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</si>
  <si>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</si>
  <si>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</si>
  <si>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</si>
  <si>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</si>
  <si>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</si>
  <si>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</si>
  <si>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</si>
  <si>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</si>
  <si>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</si>
  <si>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</si>
  <si>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</si>
  <si>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</si>
  <si>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</si>
  <si>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</si>
  <si>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</si>
  <si>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</si>
  <si>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</si>
  <si>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</si>
  <si>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</si>
  <si>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</si>
  <si>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</si>
  <si>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</si>
  <si>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</si>
  <si>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</si>
  <si>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</si>
  <si>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</si>
  <si>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</si>
  <si>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</si>
  <si>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</si>
  <si>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</si>
  <si>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</si>
  <si>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</si>
  <si>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</si>
  <si>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</si>
  <si>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</si>
  <si>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</si>
  <si>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</si>
  <si>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</si>
  <si>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</si>
  <si>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</si>
  <si>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</si>
  <si>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</si>
  <si>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</si>
  <si>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</si>
  <si>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</si>
  <si>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</si>
  <si>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</si>
  <si>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</si>
  <si>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</si>
  <si>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</si>
  <si>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</si>
  <si>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</si>
  <si>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</si>
  <si>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</si>
  <si>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</si>
  <si>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</si>
  <si>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</si>
  <si>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</si>
  <si>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</si>
  <si>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</si>
  <si>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</si>
  <si>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</si>
  <si>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</si>
  <si>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</si>
  <si>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</si>
  <si>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</si>
  <si>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</si>
  <si>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</si>
  <si>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</si>
  <si>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</si>
  <si>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</si>
  <si>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</si>
  <si>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</si>
  <si>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</si>
  <si>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</si>
  <si>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</si>
  <si>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</si>
  <si>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</si>
  <si>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</si>
  <si>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</si>
  <si>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</si>
  <si>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</si>
  <si>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</si>
  <si>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</si>
  <si>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</si>
  <si>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</si>
  <si>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</si>
  <si>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</si>
  <si>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</si>
  <si>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</si>
  <si>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</si>
  <si>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</si>
  <si>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</si>
  <si>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</si>
  <si>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</si>
  <si>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</si>
  <si>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</si>
  <si>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</si>
  <si>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</si>
  <si>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</si>
  <si>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</si>
  <si>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</si>
  <si>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</si>
  <si>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</si>
  <si>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</si>
  <si>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</si>
  <si>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</si>
  <si>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</si>
  <si>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</si>
  <si>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</si>
  <si>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</si>
  <si>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</si>
  <si>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</si>
  <si>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</si>
  <si>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</si>
  <si>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</si>
  <si>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</si>
  <si>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</si>
  <si>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</si>
  <si>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</si>
  <si>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</si>
  <si>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</si>
  <si>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</si>
  <si>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</si>
  <si>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</si>
  <si>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</si>
  <si>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</si>
  <si>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</si>
  <si>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</si>
  <si>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</si>
  <si>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</si>
  <si>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</si>
  <si>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</si>
  <si>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</si>
  <si>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</si>
  <si>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</si>
  <si>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</si>
  <si>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</si>
  <si>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</si>
  <si>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</si>
  <si>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</si>
  <si>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</si>
  <si>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</si>
  <si>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</si>
  <si>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</si>
  <si>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</si>
  <si>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</si>
  <si>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</si>
  <si>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</si>
  <si>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</si>
  <si>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</si>
  <si>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</si>
  <si>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</si>
  <si>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</si>
  <si>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</si>
  <si>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</si>
  <si>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</si>
  <si>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</si>
  <si>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</si>
  <si>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</si>
  <si>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</si>
  <si>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</si>
  <si>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</si>
  <si>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</si>
  <si>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</si>
  <si>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</si>
  <si>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</si>
  <si>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</si>
  <si>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</si>
  <si>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</si>
  <si>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</si>
  <si>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</si>
  <si>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</si>
  <si>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</si>
  <si>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</si>
  <si>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</si>
  <si>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</si>
  <si>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</si>
  <si>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</si>
  <si>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</si>
  <si>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</si>
  <si>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</si>
  <si>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</si>
  <si>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</si>
  <si>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</si>
  <si>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</si>
  <si>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</si>
  <si>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</si>
  <si>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</si>
  <si>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</si>
  <si>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</si>
  <si>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</si>
  <si>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</si>
  <si>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</si>
  <si>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</si>
  <si>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</si>
  <si>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</si>
  <si>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</si>
  <si>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</si>
  <si>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</si>
  <si>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</si>
  <si>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</si>
  <si>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</si>
  <si>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</si>
  <si>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</si>
  <si>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</si>
  <si>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</si>
  <si>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</si>
  <si>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</si>
  <si>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</si>
  <si>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</si>
  <si>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</si>
  <si>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</si>
  <si>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</si>
  <si>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</si>
  <si>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</si>
  <si>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</si>
  <si>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</si>
  <si>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</si>
  <si>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</si>
  <si>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</si>
  <si>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</si>
  <si>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</si>
  <si>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</si>
  <si>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</si>
  <si>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</si>
  <si>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</si>
  <si>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</si>
  <si>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</si>
  <si>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</si>
  <si>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</si>
  <si>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</si>
  <si>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</si>
  <si>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</si>
  <si>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</si>
  <si>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</si>
  <si>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</si>
  <si>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</si>
  <si>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</si>
  <si>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</si>
  <si>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</si>
  <si>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</si>
  <si>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</si>
  <si>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</si>
  <si>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</si>
  <si>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</si>
  <si>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</si>
  <si>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</si>
  <si>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</si>
  <si>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</si>
  <si>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</si>
  <si>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</si>
  <si>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</si>
  <si>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</si>
  <si>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</si>
  <si>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</si>
  <si>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</si>
  <si>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</si>
  <si>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</si>
  <si>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</si>
  <si>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</si>
  <si>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</si>
  <si>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</si>
  <si>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</si>
  <si>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</si>
  <si>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</si>
  <si>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</si>
  <si>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</si>
  <si>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</si>
  <si>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</si>
  <si>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</si>
  <si>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</si>
  <si>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</si>
  <si>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</si>
  <si>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</si>
  <si>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</si>
  <si>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</si>
  <si>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</si>
  <si>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</si>
  <si>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</si>
  <si>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</si>
  <si>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</si>
  <si>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</si>
  <si>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</si>
  <si>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</si>
  <si>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</si>
  <si>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</si>
  <si>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</si>
  <si>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</si>
  <si>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</si>
  <si>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</si>
  <si>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</si>
  <si>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</si>
  <si>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</si>
  <si>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</si>
  <si>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</si>
  <si>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</si>
  <si>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</si>
  <si>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</si>
  <si>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</si>
  <si>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</si>
  <si>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</si>
  <si>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</si>
  <si>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</si>
  <si>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</si>
  <si>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</si>
  <si>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</si>
  <si>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</si>
  <si>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</si>
  <si>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</si>
  <si>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</si>
  <si>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</si>
  <si>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</si>
  <si>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</si>
  <si>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</si>
  <si>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</si>
  <si>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</si>
  <si>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</si>
  <si>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</si>
  <si>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</si>
  <si>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</si>
  <si>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</si>
  <si>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</si>
  <si>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</si>
  <si>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</si>
  <si>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</si>
  <si>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</si>
  <si>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</si>
  <si>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</si>
  <si>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</si>
  <si>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</si>
  <si>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</si>
  <si>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</si>
  <si>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</si>
  <si>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</si>
  <si>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</si>
  <si>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</si>
  <si>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</si>
  <si>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</si>
  <si>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</si>
  <si>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</si>
  <si>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</si>
  <si>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</si>
  <si>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</si>
  <si>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</si>
  <si>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</si>
  <si>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</si>
  <si>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</si>
  <si>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</si>
  <si>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</si>
  <si>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</si>
  <si>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</si>
  <si>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</si>
  <si>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</si>
  <si>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</si>
  <si>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</si>
  <si>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</si>
  <si>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</si>
  <si>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</si>
  <si>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</si>
  <si>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</si>
  <si>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</si>
  <si>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</si>
  <si>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</si>
  <si>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</si>
  <si>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</si>
  <si>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</si>
  <si>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</si>
  <si>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</si>
  <si>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</si>
  <si>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</si>
  <si>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</si>
  <si>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</si>
  <si>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</si>
  <si>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</si>
  <si>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</si>
  <si>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</si>
  <si>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</si>
  <si>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</si>
  <si>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</si>
  <si>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</si>
  <si>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</si>
  <si>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</si>
  <si>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</si>
  <si>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</si>
  <si>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</si>
  <si>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</si>
  <si>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</si>
  <si>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</si>
  <si>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</si>
  <si>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</si>
  <si>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</si>
  <si>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</si>
  <si>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</si>
  <si>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</si>
  <si>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</si>
  <si>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</si>
  <si>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</si>
  <si>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</si>
  <si>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</si>
  <si>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</si>
  <si>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</si>
  <si>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</si>
  <si>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</si>
  <si>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</si>
  <si>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</si>
  <si>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</si>
  <si>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</si>
  <si>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</si>
  <si>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</si>
  <si>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</si>
  <si>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</si>
  <si>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</si>
  <si>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</si>
  <si>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</si>
  <si>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</si>
  <si>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</si>
  <si>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</si>
  <si>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</si>
  <si>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</si>
  <si>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</si>
  <si>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</si>
  <si>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</si>
  <si>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</si>
  <si>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</si>
  <si>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</si>
  <si>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</si>
  <si>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</si>
  <si>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</si>
  <si>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</si>
  <si>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</si>
  <si>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</si>
  <si>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</si>
  <si>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</si>
  <si>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</si>
  <si>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</si>
  <si>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</si>
  <si>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</si>
  <si>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</si>
  <si>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</si>
  <si>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</si>
  <si>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</si>
  <si>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</si>
  <si>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</si>
  <si>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</si>
  <si>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</si>
  <si>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</si>
  <si>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</si>
  <si>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</si>
  <si>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</si>
  <si>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</si>
  <si>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</si>
  <si>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</si>
  <si>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</si>
  <si>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</si>
  <si>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</si>
  <si>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</si>
  <si>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</si>
  <si>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</si>
  <si>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</si>
  <si>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</si>
  <si>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</si>
  <si>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</si>
  <si>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</si>
  <si>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</si>
  <si>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</si>
  <si>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</si>
  <si>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</si>
  <si>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</si>
  <si>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</si>
  <si>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</si>
  <si>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</si>
  <si>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</si>
  <si>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</si>
  <si>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</si>
  <si>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</si>
  <si>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</si>
  <si>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</si>
  <si>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</si>
  <si>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</si>
  <si>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</si>
  <si>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</si>
  <si>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</si>
  <si>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</si>
  <si>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</si>
  <si>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</si>
  <si>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</si>
  <si>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</si>
  <si>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</si>
  <si>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</si>
  <si>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</si>
  <si>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</si>
  <si>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</si>
  <si>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</si>
  <si>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</si>
  <si>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</si>
  <si>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</si>
  <si>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</si>
  <si>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</si>
  <si>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</si>
  <si>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</si>
  <si>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</si>
  <si>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</si>
  <si>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</si>
  <si>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</si>
  <si>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</si>
  <si>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</si>
  <si>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</si>
  <si>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</si>
  <si>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</si>
  <si>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</si>
  <si>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</si>
  <si>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</si>
  <si>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</si>
  <si>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</si>
  <si>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</si>
  <si>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</si>
  <si>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</si>
  <si>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</si>
  <si>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</si>
  <si>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</si>
  <si>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</si>
  <si>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</si>
  <si>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</si>
  <si>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</si>
  <si>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</si>
  <si>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</si>
  <si>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</si>
  <si>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</si>
  <si>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</si>
  <si>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</si>
  <si>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</si>
  <si>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</si>
  <si>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</si>
  <si>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</si>
  <si>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</si>
  <si>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</si>
  <si>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</si>
  <si>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</si>
  <si>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</si>
  <si>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</si>
  <si>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</si>
  <si>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</si>
  <si>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</si>
  <si>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</si>
  <si>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</si>
  <si>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</si>
  <si>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</si>
  <si>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</si>
  <si>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</si>
  <si>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</si>
  <si>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</si>
  <si>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</si>
  <si>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</si>
  <si>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</si>
  <si>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</si>
  <si>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</si>
  <si>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</si>
  <si>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</si>
  <si>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</si>
  <si>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</si>
  <si>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</si>
  <si>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</si>
  <si>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</si>
  <si>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</si>
  <si>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</si>
  <si>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</si>
  <si>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</si>
  <si>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</si>
  <si>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</si>
  <si>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</si>
  <si>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</si>
  <si>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</si>
  <si>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</si>
  <si>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</si>
  <si>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</si>
  <si>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</si>
  <si>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</si>
  <si>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</si>
  <si>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</si>
  <si>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</si>
  <si>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</si>
  <si>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</si>
  <si>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</si>
  <si>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</si>
  <si>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</si>
  <si>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</si>
  <si>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</si>
  <si>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</si>
  <si>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</si>
  <si>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</si>
  <si>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</si>
  <si>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</si>
  <si>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</si>
  <si>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</si>
  <si>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</si>
  <si>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</si>
  <si>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</si>
  <si>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</si>
  <si>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</si>
  <si>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</si>
  <si>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</si>
  <si>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</si>
  <si>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</si>
  <si>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</si>
  <si>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</si>
  <si>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</si>
  <si>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</si>
  <si>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</si>
  <si>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</si>
  <si>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</si>
  <si>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</si>
  <si>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</si>
  <si>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</si>
  <si>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</si>
  <si>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</si>
  <si>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</si>
  <si>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</si>
  <si>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</si>
  <si>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</si>
  <si>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</si>
  <si>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</si>
  <si>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</si>
  <si>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</si>
  <si>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</si>
  <si>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</si>
  <si>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</si>
  <si>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</si>
  <si>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</si>
  <si>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</si>
  <si>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</si>
  <si>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</si>
  <si>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</si>
  <si>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</si>
  <si>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</si>
  <si>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</si>
  <si>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</si>
  <si>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</si>
  <si>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</si>
  <si>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</si>
  <si>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</si>
  <si>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</si>
  <si>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</si>
  <si>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</si>
  <si>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</si>
  <si>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</si>
  <si>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</si>
  <si>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</si>
  <si>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</si>
  <si>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</si>
  <si>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</si>
  <si>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</si>
  <si>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</si>
  <si>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</si>
  <si>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</si>
  <si>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</si>
  <si>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</si>
  <si>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</si>
  <si>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</si>
  <si>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</si>
  <si>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</si>
  <si>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</si>
  <si>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</si>
  <si>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</si>
  <si>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</si>
  <si>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</si>
  <si>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</si>
  <si>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</si>
  <si>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</si>
  <si>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</si>
  <si>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</si>
  <si>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</si>
  <si>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</si>
  <si>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</si>
  <si>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</si>
  <si>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</si>
  <si>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</si>
  <si>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</si>
  <si>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</si>
  <si>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</si>
  <si>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</si>
  <si>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بدهی به مهدی 21/12/97</t>
  </si>
  <si>
    <t>سود وغدیر</t>
  </si>
  <si>
    <t>زاگرس چون برج 2 مجمع دارد</t>
  </si>
  <si>
    <t>تاپیکو زیر 200 حداکثر 2 میلیون تومن</t>
  </si>
  <si>
    <t xml:space="preserve">پارس شخارک </t>
  </si>
  <si>
    <t>زاگرس - شخارک</t>
  </si>
  <si>
    <t>تعادلی</t>
  </si>
  <si>
    <t>تبدل زاگرس به شخارک</t>
  </si>
  <si>
    <t>تبدیل شخارک به زاگرس</t>
  </si>
  <si>
    <t>بکهنوج</t>
  </si>
  <si>
    <t>ریشمک کم کردن میانگین</t>
  </si>
  <si>
    <t>طلب علی از صندوق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</si>
</sst>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4824</v>
      </c>
      <c r="B44" s="113">
        <v>-31000</v>
      </c>
      <c r="C44" s="99" t="s">
        <v>4837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4885</v>
      </c>
      <c r="I46" s="11">
        <v>248200</v>
      </c>
      <c r="J46" s="11" t="s">
        <v>4897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opLeftCell="A40" workbookViewId="0">
      <selection activeCell="D68" sqref="D68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4799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4836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4836</v>
      </c>
      <c r="B6" s="18">
        <v>-1866154</v>
      </c>
      <c r="C6" s="18">
        <v>0</v>
      </c>
      <c r="D6" s="113">
        <f t="shared" si="0"/>
        <v>-1866154</v>
      </c>
      <c r="E6" s="19" t="s">
        <v>4845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4836</v>
      </c>
      <c r="B7" s="18">
        <v>-36600</v>
      </c>
      <c r="C7" s="18">
        <v>0</v>
      </c>
      <c r="D7" s="113">
        <f t="shared" si="0"/>
        <v>-36600</v>
      </c>
      <c r="E7" s="19" t="s">
        <v>4846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4847</v>
      </c>
      <c r="B8" s="18">
        <v>-492000</v>
      </c>
      <c r="C8" s="18">
        <v>0</v>
      </c>
      <c r="D8" s="113">
        <f t="shared" si="0"/>
        <v>-492000</v>
      </c>
      <c r="E8" s="19" t="s">
        <v>4848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4847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4847</v>
      </c>
      <c r="B10" s="18">
        <v>-40000</v>
      </c>
      <c r="C10" s="18">
        <v>0</v>
      </c>
      <c r="D10" s="113">
        <f t="shared" si="0"/>
        <v>-40000</v>
      </c>
      <c r="E10" s="19" t="s">
        <v>4850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4851</v>
      </c>
      <c r="B11" s="18">
        <v>-66000</v>
      </c>
      <c r="C11" s="18">
        <v>0</v>
      </c>
      <c r="D11" s="113">
        <f t="shared" si="0"/>
        <v>-66000</v>
      </c>
      <c r="E11" s="19" t="s">
        <v>4850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4852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4852</v>
      </c>
      <c r="B13" s="18">
        <v>-200500</v>
      </c>
      <c r="C13" s="18">
        <v>0</v>
      </c>
      <c r="D13" s="113">
        <f t="shared" si="0"/>
        <v>-200500</v>
      </c>
      <c r="E13" s="20" t="s">
        <v>4853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4857</v>
      </c>
      <c r="B14" s="18">
        <v>1563000</v>
      </c>
      <c r="C14" s="18">
        <v>0</v>
      </c>
      <c r="D14" s="113">
        <f t="shared" si="0"/>
        <v>1563000</v>
      </c>
      <c r="E14" s="20" t="s">
        <v>4863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4857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4872</v>
      </c>
      <c r="B16" s="18">
        <v>-20000</v>
      </c>
      <c r="C16" s="18">
        <v>0</v>
      </c>
      <c r="D16" s="113">
        <f t="shared" si="0"/>
        <v>-20000</v>
      </c>
      <c r="E16" s="20" t="s">
        <v>4877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4890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4895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4745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4757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4747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4749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4767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4776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838807</v>
      </c>
      <c r="C32" s="113">
        <f>SUM(C2:C31)</f>
        <v>0</v>
      </c>
      <c r="D32" s="113">
        <f>SUM(D2:D31)</f>
        <v>838807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27320330</v>
      </c>
      <c r="H33" s="18">
        <f>SUM(H2:H31)</f>
        <v>0</v>
      </c>
      <c r="I33" s="18">
        <f>SUM(I2:I31)</f>
        <v>27320330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4839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4849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4871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4875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4879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4880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-153545</v>
      </c>
      <c r="E66" s="122" t="s">
        <v>4903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-67844</v>
      </c>
      <c r="E67" s="122" t="s">
        <v>4907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/>
      <c r="E68" s="122"/>
      <c r="G68" t="s">
        <v>25</v>
      </c>
    </row>
    <row r="69" spans="1:22">
      <c r="D69" s="18"/>
      <c r="E69" s="122"/>
    </row>
    <row r="70" spans="1:22">
      <c r="D70" s="18"/>
      <c r="E70" s="96" t="s">
        <v>25</v>
      </c>
    </row>
    <row r="71" spans="1:22">
      <c r="D71" s="18">
        <v>0</v>
      </c>
      <c r="E71" s="96" t="s">
        <v>6</v>
      </c>
    </row>
    <row r="72" spans="1:22">
      <c r="D72" s="18">
        <v>0</v>
      </c>
      <c r="E72" s="96" t="s">
        <v>25</v>
      </c>
    </row>
    <row r="73" spans="1:22">
      <c r="D73" s="18"/>
      <c r="E73" s="96" t="s">
        <v>25</v>
      </c>
    </row>
    <row r="74" spans="1:22">
      <c r="D74" s="18">
        <f>SUM(D38:D73)</f>
        <v>203880</v>
      </c>
      <c r="E74" s="96" t="s">
        <v>25</v>
      </c>
    </row>
    <row r="75" spans="1:22">
      <c r="D75" s="96"/>
      <c r="E75" s="96"/>
    </row>
    <row r="76" spans="1:22">
      <c r="D76" s="96"/>
    </row>
    <row r="77" spans="1:22">
      <c r="D77" s="96"/>
    </row>
    <row r="78" spans="1:22">
      <c r="D7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zoomScaleNormal="100" workbookViewId="0">
      <pane ySplit="1" topLeftCell="A317" activePane="bottomLeft" state="frozen"/>
      <selection pane="bottomLeft" activeCell="E332" sqref="E33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1064</v>
      </c>
      <c r="H2" s="36">
        <f>IF(B2&gt;0,1,0)</f>
        <v>1</v>
      </c>
      <c r="I2" s="11">
        <f>B2*(G2-H2)</f>
        <v>17752100</v>
      </c>
      <c r="J2" s="53">
        <f>C2*(G2-H2)</f>
        <v>17752100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1063</v>
      </c>
      <c r="H3" s="36">
        <f t="shared" ref="H3:H66" si="2">IF(B3&gt;0,1,0)</f>
        <v>1</v>
      </c>
      <c r="I3" s="11">
        <f t="shared" ref="I3:I66" si="3">B3*(G3-H3)</f>
        <v>21133800000</v>
      </c>
      <c r="J3" s="53">
        <f t="shared" ref="J3:J66" si="4">C3*(G3-H3)</f>
        <v>12092994000</v>
      </c>
      <c r="K3" s="53">
        <f t="shared" ref="K3:K66" si="5">D3*(G3-H3)</f>
        <v>9040806000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1063</v>
      </c>
      <c r="H4" s="36">
        <f t="shared" si="2"/>
        <v>0</v>
      </c>
      <c r="I4" s="11">
        <f t="shared" si="3"/>
        <v>0</v>
      </c>
      <c r="J4" s="53">
        <f t="shared" si="4"/>
        <v>9035500</v>
      </c>
      <c r="K4" s="53">
        <f t="shared" si="5"/>
        <v>-9035500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1061</v>
      </c>
      <c r="H5" s="36">
        <f t="shared" si="2"/>
        <v>1</v>
      </c>
      <c r="I5" s="11">
        <f t="shared" si="3"/>
        <v>2120000000</v>
      </c>
      <c r="J5" s="53">
        <f t="shared" si="4"/>
        <v>0</v>
      </c>
      <c r="K5" s="53">
        <f t="shared" si="5"/>
        <v>2120000000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1054</v>
      </c>
      <c r="H6" s="36">
        <f t="shared" si="2"/>
        <v>0</v>
      </c>
      <c r="I6" s="11">
        <f t="shared" si="3"/>
        <v>-5270000</v>
      </c>
      <c r="J6" s="53">
        <f t="shared" si="4"/>
        <v>0</v>
      </c>
      <c r="K6" s="53">
        <f t="shared" si="5"/>
        <v>-5270000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1050</v>
      </c>
      <c r="H7" s="36">
        <f t="shared" si="2"/>
        <v>0</v>
      </c>
      <c r="I7" s="11">
        <f t="shared" si="3"/>
        <v>-1260525000</v>
      </c>
      <c r="J7" s="53">
        <f t="shared" si="4"/>
        <v>0</v>
      </c>
      <c r="K7" s="53">
        <f t="shared" si="5"/>
        <v>-1260525000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1049</v>
      </c>
      <c r="H8" s="36">
        <f t="shared" si="2"/>
        <v>0</v>
      </c>
      <c r="I8" s="11">
        <f t="shared" si="3"/>
        <v>-209800000</v>
      </c>
      <c r="J8" s="53">
        <f t="shared" si="4"/>
        <v>0</v>
      </c>
      <c r="K8" s="53">
        <f t="shared" si="5"/>
        <v>-209800000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1047</v>
      </c>
      <c r="H9" s="36">
        <f t="shared" si="2"/>
        <v>0</v>
      </c>
      <c r="I9" s="11">
        <f t="shared" si="3"/>
        <v>-738658500</v>
      </c>
      <c r="J9" s="53">
        <f t="shared" si="4"/>
        <v>0</v>
      </c>
      <c r="K9" s="53">
        <f t="shared" si="5"/>
        <v>-738658500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1038</v>
      </c>
      <c r="H10" s="36">
        <f t="shared" si="2"/>
        <v>0</v>
      </c>
      <c r="I10" s="11">
        <f t="shared" si="3"/>
        <v>-207600000</v>
      </c>
      <c r="J10" s="53">
        <f t="shared" si="4"/>
        <v>0</v>
      </c>
      <c r="K10" s="53">
        <f t="shared" si="5"/>
        <v>-207600000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1038</v>
      </c>
      <c r="H11" s="36">
        <f t="shared" si="2"/>
        <v>1</v>
      </c>
      <c r="I11" s="11">
        <f t="shared" si="3"/>
        <v>1037000000</v>
      </c>
      <c r="J11" s="53">
        <f t="shared" si="4"/>
        <v>0</v>
      </c>
      <c r="K11" s="53">
        <f t="shared" si="5"/>
        <v>1037000000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1034</v>
      </c>
      <c r="H12" s="36">
        <f t="shared" si="2"/>
        <v>0</v>
      </c>
      <c r="I12" s="11">
        <f t="shared" si="3"/>
        <v>-310200000</v>
      </c>
      <c r="J12" s="53">
        <f t="shared" si="4"/>
        <v>0</v>
      </c>
      <c r="K12" s="53">
        <f t="shared" si="5"/>
        <v>-310200000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1029</v>
      </c>
      <c r="H13" s="36">
        <f t="shared" si="2"/>
        <v>0</v>
      </c>
      <c r="I13" s="11">
        <f t="shared" si="3"/>
        <v>-63798000</v>
      </c>
      <c r="J13" s="53">
        <f t="shared" si="4"/>
        <v>0</v>
      </c>
      <c r="K13" s="53">
        <f t="shared" si="5"/>
        <v>-63798000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1029</v>
      </c>
      <c r="H14" s="36">
        <f t="shared" si="2"/>
        <v>1</v>
      </c>
      <c r="I14" s="11">
        <f t="shared" si="3"/>
        <v>2056000000</v>
      </c>
      <c r="J14" s="53">
        <f t="shared" si="4"/>
        <v>0</v>
      </c>
      <c r="K14" s="53">
        <f t="shared" si="5"/>
        <v>2056000000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1028</v>
      </c>
      <c r="H15" s="36">
        <f t="shared" si="2"/>
        <v>1</v>
      </c>
      <c r="I15" s="11">
        <f t="shared" si="3"/>
        <v>1848600000</v>
      </c>
      <c r="J15" s="53">
        <f t="shared" si="4"/>
        <v>0</v>
      </c>
      <c r="K15" s="53">
        <f t="shared" si="5"/>
        <v>1848600000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1028</v>
      </c>
      <c r="H16" s="36">
        <f t="shared" si="2"/>
        <v>0</v>
      </c>
      <c r="I16" s="11">
        <f t="shared" si="3"/>
        <v>-205600000</v>
      </c>
      <c r="J16" s="53">
        <f t="shared" si="4"/>
        <v>0</v>
      </c>
      <c r="K16" s="53">
        <f t="shared" si="5"/>
        <v>-205600000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1024</v>
      </c>
      <c r="H17" s="36">
        <f t="shared" si="2"/>
        <v>0</v>
      </c>
      <c r="I17" s="11">
        <f t="shared" si="3"/>
        <v>-2048000000</v>
      </c>
      <c r="J17" s="53">
        <f t="shared" si="4"/>
        <v>0</v>
      </c>
      <c r="K17" s="53">
        <f t="shared" si="5"/>
        <v>-2048000000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1023</v>
      </c>
      <c r="H18" s="36">
        <f t="shared" si="2"/>
        <v>0</v>
      </c>
      <c r="I18" s="11">
        <f t="shared" si="3"/>
        <v>-306900000</v>
      </c>
      <c r="J18" s="53">
        <f t="shared" si="4"/>
        <v>0</v>
      </c>
      <c r="K18" s="53">
        <f t="shared" si="5"/>
        <v>-306900000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1022</v>
      </c>
      <c r="H19" s="36">
        <f t="shared" si="2"/>
        <v>0</v>
      </c>
      <c r="I19" s="11">
        <f t="shared" si="3"/>
        <v>-204400000</v>
      </c>
      <c r="J19" s="53">
        <f t="shared" si="4"/>
        <v>0</v>
      </c>
      <c r="K19" s="53">
        <f t="shared" si="5"/>
        <v>-204400000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1020</v>
      </c>
      <c r="H20" s="36">
        <f t="shared" si="2"/>
        <v>1</v>
      </c>
      <c r="I20" s="11">
        <f t="shared" si="3"/>
        <v>276239691</v>
      </c>
      <c r="J20" s="53">
        <f t="shared" si="4"/>
        <v>150253588</v>
      </c>
      <c r="K20" s="53">
        <f t="shared" si="5"/>
        <v>125986103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1018</v>
      </c>
      <c r="H21" s="36">
        <f t="shared" si="2"/>
        <v>0</v>
      </c>
      <c r="I21" s="11">
        <f t="shared" si="3"/>
        <v>-1532802600</v>
      </c>
      <c r="J21" s="53">
        <f t="shared" si="4"/>
        <v>0</v>
      </c>
      <c r="K21" s="53">
        <f t="shared" si="5"/>
        <v>-1532802600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1015</v>
      </c>
      <c r="H22" s="36">
        <f t="shared" si="2"/>
        <v>1</v>
      </c>
      <c r="I22" s="11">
        <f t="shared" si="3"/>
        <v>3042000000</v>
      </c>
      <c r="J22" s="53">
        <f t="shared" si="4"/>
        <v>0</v>
      </c>
      <c r="K22" s="53">
        <f t="shared" si="5"/>
        <v>3042000000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1014</v>
      </c>
      <c r="H23" s="36">
        <f t="shared" si="2"/>
        <v>1</v>
      </c>
      <c r="I23" s="11">
        <f t="shared" si="3"/>
        <v>1013000000</v>
      </c>
      <c r="J23" s="53">
        <f t="shared" si="4"/>
        <v>0</v>
      </c>
      <c r="K23" s="53">
        <f t="shared" si="5"/>
        <v>1013000000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1013</v>
      </c>
      <c r="H24" s="36">
        <f t="shared" si="2"/>
        <v>0</v>
      </c>
      <c r="I24" s="11">
        <f t="shared" si="3"/>
        <v>-3039911700</v>
      </c>
      <c r="J24" s="53">
        <f t="shared" si="4"/>
        <v>0</v>
      </c>
      <c r="K24" s="53">
        <f t="shared" si="5"/>
        <v>-3039911700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998</v>
      </c>
      <c r="H25" s="36">
        <f t="shared" si="2"/>
        <v>1</v>
      </c>
      <c r="I25" s="11">
        <f t="shared" si="3"/>
        <v>1495500000</v>
      </c>
      <c r="J25" s="53">
        <f t="shared" si="4"/>
        <v>0</v>
      </c>
      <c r="K25" s="53">
        <f t="shared" si="5"/>
        <v>1495500000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990</v>
      </c>
      <c r="H26" s="36">
        <f t="shared" si="2"/>
        <v>0</v>
      </c>
      <c r="I26" s="11">
        <f t="shared" si="3"/>
        <v>-162360000</v>
      </c>
      <c r="J26" s="53">
        <f t="shared" si="4"/>
        <v>0</v>
      </c>
      <c r="K26" s="53">
        <f t="shared" si="5"/>
        <v>-162360000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989</v>
      </c>
      <c r="H27" s="36">
        <f t="shared" si="2"/>
        <v>1</v>
      </c>
      <c r="I27" s="11">
        <f t="shared" si="3"/>
        <v>197000284</v>
      </c>
      <c r="J27" s="53">
        <f t="shared" si="4"/>
        <v>106124044</v>
      </c>
      <c r="K27" s="53">
        <f t="shared" si="5"/>
        <v>90876240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987</v>
      </c>
      <c r="H28" s="36">
        <f t="shared" si="2"/>
        <v>0</v>
      </c>
      <c r="I28" s="11">
        <f t="shared" si="3"/>
        <v>-218127000</v>
      </c>
      <c r="J28" s="53">
        <f t="shared" si="4"/>
        <v>-218127000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987</v>
      </c>
      <c r="H29" s="36">
        <f t="shared" si="2"/>
        <v>0</v>
      </c>
      <c r="I29" s="11">
        <f t="shared" si="3"/>
        <v>-493993500</v>
      </c>
      <c r="J29" s="53">
        <f t="shared" si="4"/>
        <v>0</v>
      </c>
      <c r="K29" s="53">
        <f t="shared" si="5"/>
        <v>-493993500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987</v>
      </c>
      <c r="H30" s="36">
        <f t="shared" si="2"/>
        <v>0</v>
      </c>
      <c r="I30" s="11">
        <f t="shared" si="3"/>
        <v>-14805000000</v>
      </c>
      <c r="J30" s="53">
        <f t="shared" si="4"/>
        <v>-14805000000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970</v>
      </c>
      <c r="H31" s="36">
        <f t="shared" si="2"/>
        <v>0</v>
      </c>
      <c r="I31" s="11">
        <f t="shared" si="3"/>
        <v>-2920573000</v>
      </c>
      <c r="J31" s="53">
        <f t="shared" si="4"/>
        <v>0</v>
      </c>
      <c r="K31" s="53">
        <f t="shared" si="5"/>
        <v>-2920573000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968</v>
      </c>
      <c r="H32" s="36">
        <f t="shared" si="2"/>
        <v>0</v>
      </c>
      <c r="I32" s="11">
        <f t="shared" si="3"/>
        <v>-2909711200</v>
      </c>
      <c r="J32" s="53">
        <f t="shared" si="4"/>
        <v>0</v>
      </c>
      <c r="K32" s="53">
        <f t="shared" si="5"/>
        <v>-2909711200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967</v>
      </c>
      <c r="H33" s="36">
        <f t="shared" si="2"/>
        <v>0</v>
      </c>
      <c r="I33" s="11">
        <f t="shared" si="3"/>
        <v>-865948500</v>
      </c>
      <c r="J33" s="53">
        <f t="shared" si="4"/>
        <v>0</v>
      </c>
      <c r="K33" s="53">
        <f t="shared" si="5"/>
        <v>-865948500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967</v>
      </c>
      <c r="H34" s="36">
        <f t="shared" si="2"/>
        <v>0</v>
      </c>
      <c r="I34" s="11">
        <f t="shared" si="3"/>
        <v>0</v>
      </c>
      <c r="J34" s="53">
        <f t="shared" si="4"/>
        <v>967000000</v>
      </c>
      <c r="K34" s="53">
        <f t="shared" si="5"/>
        <v>-967000000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958</v>
      </c>
      <c r="H35" s="36">
        <f t="shared" si="2"/>
        <v>1</v>
      </c>
      <c r="I35" s="11">
        <f t="shared" si="3"/>
        <v>50215704</v>
      </c>
      <c r="J35" s="53">
        <f t="shared" si="4"/>
        <v>-20731491</v>
      </c>
      <c r="K35" s="53">
        <f t="shared" si="5"/>
        <v>70947195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958</v>
      </c>
      <c r="H36" s="36">
        <f t="shared" si="2"/>
        <v>0</v>
      </c>
      <c r="I36" s="11">
        <f t="shared" si="3"/>
        <v>0</v>
      </c>
      <c r="J36" s="53">
        <f t="shared" si="4"/>
        <v>20753154</v>
      </c>
      <c r="K36" s="53">
        <f t="shared" si="5"/>
        <v>-20753154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948</v>
      </c>
      <c r="H37" s="36">
        <f t="shared" si="2"/>
        <v>0</v>
      </c>
      <c r="I37" s="11">
        <f t="shared" si="3"/>
        <v>-52140000</v>
      </c>
      <c r="J37" s="53">
        <f t="shared" si="4"/>
        <v>0</v>
      </c>
      <c r="K37" s="53">
        <f t="shared" si="5"/>
        <v>-52140000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947</v>
      </c>
      <c r="H38" s="36">
        <f t="shared" si="2"/>
        <v>1</v>
      </c>
      <c r="I38" s="11">
        <f t="shared" si="3"/>
        <v>2838000000</v>
      </c>
      <c r="J38" s="53">
        <f t="shared" si="4"/>
        <v>2838000000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946</v>
      </c>
      <c r="H39" s="36">
        <f t="shared" si="2"/>
        <v>1</v>
      </c>
      <c r="I39" s="11">
        <f t="shared" si="3"/>
        <v>2362500000</v>
      </c>
      <c r="J39" s="53">
        <f t="shared" si="4"/>
        <v>2362500000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946</v>
      </c>
      <c r="H40" s="36">
        <f t="shared" si="2"/>
        <v>0</v>
      </c>
      <c r="I40" s="11">
        <f t="shared" si="3"/>
        <v>-47300000</v>
      </c>
      <c r="J40" s="53">
        <f t="shared" si="4"/>
        <v>0</v>
      </c>
      <c r="K40" s="53">
        <f t="shared" si="5"/>
        <v>-47300000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946</v>
      </c>
      <c r="H41" s="36">
        <f t="shared" si="2"/>
        <v>1</v>
      </c>
      <c r="I41" s="11">
        <f t="shared" si="3"/>
        <v>2835000000</v>
      </c>
      <c r="J41" s="53">
        <f t="shared" si="4"/>
        <v>0</v>
      </c>
      <c r="K41" s="53">
        <f t="shared" si="5"/>
        <v>2835000000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943</v>
      </c>
      <c r="H42" s="36">
        <f t="shared" si="2"/>
        <v>0</v>
      </c>
      <c r="I42" s="11">
        <f t="shared" si="3"/>
        <v>-84115600</v>
      </c>
      <c r="J42" s="53">
        <f t="shared" si="4"/>
        <v>0</v>
      </c>
      <c r="K42" s="53">
        <f t="shared" si="5"/>
        <v>-84115600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939</v>
      </c>
      <c r="H43" s="36">
        <f t="shared" si="2"/>
        <v>0</v>
      </c>
      <c r="I43" s="11">
        <f t="shared" si="3"/>
        <v>-187800000</v>
      </c>
      <c r="J43" s="53">
        <f t="shared" si="4"/>
        <v>0</v>
      </c>
      <c r="K43" s="53">
        <f t="shared" si="5"/>
        <v>-187800000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937</v>
      </c>
      <c r="H44" s="36">
        <f t="shared" si="2"/>
        <v>0</v>
      </c>
      <c r="I44" s="11">
        <f t="shared" si="3"/>
        <v>-187400000</v>
      </c>
      <c r="J44" s="53">
        <f t="shared" si="4"/>
        <v>0</v>
      </c>
      <c r="K44" s="53">
        <f t="shared" si="5"/>
        <v>-187400000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937</v>
      </c>
      <c r="H45" s="36">
        <f t="shared" si="2"/>
        <v>0</v>
      </c>
      <c r="I45" s="11">
        <f t="shared" si="3"/>
        <v>-524720000</v>
      </c>
      <c r="J45" s="53">
        <f t="shared" si="4"/>
        <v>0</v>
      </c>
      <c r="K45" s="53">
        <f t="shared" si="5"/>
        <v>-524720000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933</v>
      </c>
      <c r="H46" s="36">
        <f t="shared" si="2"/>
        <v>0</v>
      </c>
      <c r="I46" s="11">
        <f t="shared" si="3"/>
        <v>-658231500</v>
      </c>
      <c r="J46" s="53">
        <f t="shared" si="4"/>
        <v>0</v>
      </c>
      <c r="K46" s="53">
        <f t="shared" si="5"/>
        <v>-658231500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927</v>
      </c>
      <c r="H47" s="36">
        <f t="shared" si="2"/>
        <v>1</v>
      </c>
      <c r="I47" s="11">
        <f t="shared" si="3"/>
        <v>38154904</v>
      </c>
      <c r="J47" s="53">
        <f t="shared" si="4"/>
        <v>6216238</v>
      </c>
      <c r="K47" s="53">
        <f t="shared" si="5"/>
        <v>31938666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927</v>
      </c>
      <c r="H48" s="36">
        <f t="shared" si="2"/>
        <v>1</v>
      </c>
      <c r="I48" s="11">
        <f t="shared" si="3"/>
        <v>1578552200</v>
      </c>
      <c r="J48" s="53">
        <f t="shared" si="4"/>
        <v>0</v>
      </c>
      <c r="K48" s="53">
        <f t="shared" si="5"/>
        <v>1578552200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918</v>
      </c>
      <c r="H49" s="36">
        <f t="shared" si="2"/>
        <v>0</v>
      </c>
      <c r="I49" s="11">
        <f t="shared" si="3"/>
        <v>-142290000</v>
      </c>
      <c r="J49" s="53">
        <f t="shared" si="4"/>
        <v>0</v>
      </c>
      <c r="K49" s="53">
        <f t="shared" si="5"/>
        <v>-142290000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918</v>
      </c>
      <c r="H50" s="36">
        <f t="shared" si="2"/>
        <v>0</v>
      </c>
      <c r="I50" s="11">
        <f t="shared" si="3"/>
        <v>-126684000</v>
      </c>
      <c r="J50" s="53">
        <f t="shared" si="4"/>
        <v>0</v>
      </c>
      <c r="K50" s="53">
        <f t="shared" si="5"/>
        <v>-126684000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918</v>
      </c>
      <c r="H51" s="36">
        <f t="shared" si="2"/>
        <v>0</v>
      </c>
      <c r="I51" s="11">
        <f t="shared" si="3"/>
        <v>-679320000</v>
      </c>
      <c r="J51" s="53">
        <f t="shared" si="4"/>
        <v>0</v>
      </c>
      <c r="K51" s="53">
        <f t="shared" si="5"/>
        <v>-679320000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918</v>
      </c>
      <c r="H52" s="36">
        <f t="shared" si="2"/>
        <v>0</v>
      </c>
      <c r="I52" s="11">
        <f t="shared" si="3"/>
        <v>-183600000</v>
      </c>
      <c r="J52" s="53">
        <f t="shared" si="4"/>
        <v>0</v>
      </c>
      <c r="K52" s="53">
        <f t="shared" si="5"/>
        <v>-183600000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917</v>
      </c>
      <c r="H53" s="36">
        <f t="shared" si="2"/>
        <v>0</v>
      </c>
      <c r="I53" s="11">
        <f t="shared" si="3"/>
        <v>-967435000</v>
      </c>
      <c r="J53" s="53">
        <f t="shared" si="4"/>
        <v>0</v>
      </c>
      <c r="K53" s="53">
        <f t="shared" si="5"/>
        <v>-967435000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917</v>
      </c>
      <c r="H54" s="36">
        <f t="shared" si="2"/>
        <v>0</v>
      </c>
      <c r="I54" s="11">
        <f t="shared" si="3"/>
        <v>-183400000</v>
      </c>
      <c r="J54" s="53">
        <f t="shared" si="4"/>
        <v>0</v>
      </c>
      <c r="K54" s="53">
        <f t="shared" si="5"/>
        <v>-183400000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917</v>
      </c>
      <c r="H55" s="36">
        <f t="shared" si="2"/>
        <v>0</v>
      </c>
      <c r="I55" s="11">
        <f t="shared" si="3"/>
        <v>-917458500</v>
      </c>
      <c r="J55" s="53">
        <f t="shared" si="4"/>
        <v>0</v>
      </c>
      <c r="K55" s="53">
        <f t="shared" si="5"/>
        <v>-917458500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917</v>
      </c>
      <c r="H56" s="36">
        <f t="shared" si="2"/>
        <v>0</v>
      </c>
      <c r="I56" s="11">
        <f t="shared" si="3"/>
        <v>-34846000</v>
      </c>
      <c r="J56" s="53">
        <f t="shared" si="4"/>
        <v>0</v>
      </c>
      <c r="K56" s="53">
        <f t="shared" si="5"/>
        <v>-34846000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917</v>
      </c>
      <c r="H57" s="36">
        <f t="shared" si="2"/>
        <v>0</v>
      </c>
      <c r="I57" s="11">
        <f t="shared" si="3"/>
        <v>-96285000</v>
      </c>
      <c r="J57" s="53">
        <f t="shared" si="4"/>
        <v>0</v>
      </c>
      <c r="K57" s="53">
        <f t="shared" si="5"/>
        <v>-96285000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917</v>
      </c>
      <c r="H58" s="36">
        <f t="shared" si="2"/>
        <v>0</v>
      </c>
      <c r="I58" s="11">
        <f t="shared" si="3"/>
        <v>-55020000</v>
      </c>
      <c r="J58" s="53">
        <f t="shared" si="4"/>
        <v>0</v>
      </c>
      <c r="K58" s="53">
        <f t="shared" si="5"/>
        <v>-55020000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914</v>
      </c>
      <c r="H59" s="36">
        <f t="shared" si="2"/>
        <v>1</v>
      </c>
      <c r="I59" s="11">
        <f t="shared" si="3"/>
        <v>913000000</v>
      </c>
      <c r="J59" s="53">
        <f t="shared" si="4"/>
        <v>913000000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913</v>
      </c>
      <c r="H60" s="36">
        <f t="shared" si="2"/>
        <v>1</v>
      </c>
      <c r="I60" s="11">
        <f t="shared" si="3"/>
        <v>3192000000</v>
      </c>
      <c r="J60" s="53">
        <f t="shared" si="4"/>
        <v>3192000000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911</v>
      </c>
      <c r="H61" s="36">
        <f t="shared" si="2"/>
        <v>1</v>
      </c>
      <c r="I61" s="11">
        <f t="shared" si="3"/>
        <v>910000000</v>
      </c>
      <c r="J61" s="53">
        <f t="shared" si="4"/>
        <v>910000000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911</v>
      </c>
      <c r="H62" s="36">
        <f t="shared" si="2"/>
        <v>1</v>
      </c>
      <c r="I62" s="11">
        <f t="shared" si="3"/>
        <v>2730000000</v>
      </c>
      <c r="J62" s="53">
        <f t="shared" si="4"/>
        <v>2730000000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909</v>
      </c>
      <c r="H63" s="36">
        <f t="shared" si="2"/>
        <v>0</v>
      </c>
      <c r="I63" s="11">
        <f t="shared" si="3"/>
        <v>-181800000</v>
      </c>
      <c r="J63" s="53">
        <f t="shared" si="4"/>
        <v>0</v>
      </c>
      <c r="K63" s="53">
        <f t="shared" si="5"/>
        <v>-181800000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904</v>
      </c>
      <c r="H64" s="36">
        <f t="shared" si="2"/>
        <v>0</v>
      </c>
      <c r="I64" s="11">
        <f t="shared" si="3"/>
        <v>-45200000</v>
      </c>
      <c r="J64" s="53">
        <f t="shared" si="4"/>
        <v>0</v>
      </c>
      <c r="K64" s="53">
        <f t="shared" si="5"/>
        <v>-45200000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900</v>
      </c>
      <c r="H65" s="36">
        <f t="shared" si="2"/>
        <v>0</v>
      </c>
      <c r="I65" s="11">
        <f t="shared" si="3"/>
        <v>-180000000</v>
      </c>
      <c r="J65" s="53">
        <f t="shared" si="4"/>
        <v>0</v>
      </c>
      <c r="K65" s="53">
        <f t="shared" si="5"/>
        <v>-180000000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897</v>
      </c>
      <c r="H66" s="36">
        <f t="shared" si="2"/>
        <v>0</v>
      </c>
      <c r="I66" s="11">
        <f t="shared" si="3"/>
        <v>-152490000</v>
      </c>
      <c r="J66" s="53">
        <f t="shared" si="4"/>
        <v>0</v>
      </c>
      <c r="K66" s="53">
        <f t="shared" si="5"/>
        <v>-152490000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896</v>
      </c>
      <c r="H67" s="36">
        <f t="shared" ref="H67:H131" si="8">IF(B67&gt;0,1,0)</f>
        <v>1</v>
      </c>
      <c r="I67" s="11">
        <f t="shared" ref="I67:I119" si="9">B67*(G67-H67)</f>
        <v>81735875</v>
      </c>
      <c r="J67" s="53">
        <f t="shared" ref="J67:J131" si="10">C67*(G67-H67)</f>
        <v>58822085</v>
      </c>
      <c r="K67" s="53">
        <f t="shared" ref="K67:K131" si="11">D67*(G67-H67)</f>
        <v>22913790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878</v>
      </c>
      <c r="H68" s="36">
        <f t="shared" si="8"/>
        <v>0</v>
      </c>
      <c r="I68" s="11">
        <f t="shared" si="9"/>
        <v>-127310000</v>
      </c>
      <c r="J68" s="53">
        <f t="shared" si="10"/>
        <v>0</v>
      </c>
      <c r="K68" s="53">
        <f t="shared" si="11"/>
        <v>-127310000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871</v>
      </c>
      <c r="H69" s="36">
        <f t="shared" si="8"/>
        <v>1</v>
      </c>
      <c r="I69" s="11">
        <f t="shared" si="9"/>
        <v>852600000</v>
      </c>
      <c r="J69" s="53">
        <f t="shared" si="10"/>
        <v>0</v>
      </c>
      <c r="K69" s="53">
        <f t="shared" si="11"/>
        <v>852600000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868</v>
      </c>
      <c r="H70" s="36">
        <f t="shared" si="8"/>
        <v>0</v>
      </c>
      <c r="I70" s="11">
        <f t="shared" si="9"/>
        <v>-39928000</v>
      </c>
      <c r="J70" s="53">
        <f t="shared" si="10"/>
        <v>0</v>
      </c>
      <c r="K70" s="53">
        <f t="shared" si="11"/>
        <v>-39928000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866</v>
      </c>
      <c r="H71" s="36">
        <f t="shared" si="8"/>
        <v>1</v>
      </c>
      <c r="I71" s="11">
        <f t="shared" si="9"/>
        <v>99767370</v>
      </c>
      <c r="J71" s="53">
        <f t="shared" si="10"/>
        <v>89797380</v>
      </c>
      <c r="K71" s="53">
        <f t="shared" si="11"/>
        <v>9969990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865</v>
      </c>
      <c r="H72" s="36">
        <f t="shared" si="8"/>
        <v>0</v>
      </c>
      <c r="I72" s="11">
        <f t="shared" si="9"/>
        <v>-131453185</v>
      </c>
      <c r="J72" s="53">
        <f t="shared" si="10"/>
        <v>0</v>
      </c>
      <c r="K72" s="53">
        <f t="shared" si="11"/>
        <v>-131453185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864</v>
      </c>
      <c r="H73" s="36">
        <f t="shared" si="8"/>
        <v>0</v>
      </c>
      <c r="I73" s="11">
        <f t="shared" si="9"/>
        <v>-695952000</v>
      </c>
      <c r="J73" s="53">
        <f t="shared" si="10"/>
        <v>0</v>
      </c>
      <c r="K73" s="53">
        <f t="shared" si="11"/>
        <v>-695952000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857</v>
      </c>
      <c r="H74" s="36">
        <f t="shared" si="8"/>
        <v>1</v>
      </c>
      <c r="I74" s="11">
        <f t="shared" si="9"/>
        <v>5987720000</v>
      </c>
      <c r="J74" s="53">
        <f t="shared" si="10"/>
        <v>0</v>
      </c>
      <c r="K74" s="53">
        <f t="shared" si="11"/>
        <v>5987720000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856</v>
      </c>
      <c r="H75" s="36">
        <f t="shared" si="8"/>
        <v>1</v>
      </c>
      <c r="I75" s="11">
        <f t="shared" si="9"/>
        <v>2565000000</v>
      </c>
      <c r="J75" s="53">
        <f t="shared" si="10"/>
        <v>0</v>
      </c>
      <c r="K75" s="53">
        <f t="shared" si="11"/>
        <v>2565000000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854</v>
      </c>
      <c r="H76" s="36">
        <f t="shared" si="8"/>
        <v>1</v>
      </c>
      <c r="I76" s="11">
        <f t="shared" si="9"/>
        <v>2559000000</v>
      </c>
      <c r="J76" s="53">
        <f t="shared" si="10"/>
        <v>0</v>
      </c>
      <c r="K76" s="53">
        <f t="shared" si="11"/>
        <v>2559000000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853</v>
      </c>
      <c r="H77" s="36">
        <f t="shared" si="8"/>
        <v>1</v>
      </c>
      <c r="I77" s="11">
        <f t="shared" si="9"/>
        <v>2556000000</v>
      </c>
      <c r="J77" s="53">
        <f t="shared" si="10"/>
        <v>0</v>
      </c>
      <c r="K77" s="53">
        <f t="shared" si="11"/>
        <v>2556000000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852</v>
      </c>
      <c r="H78" s="36">
        <f t="shared" si="8"/>
        <v>0</v>
      </c>
      <c r="I78" s="11">
        <f t="shared" si="9"/>
        <v>-2726400000</v>
      </c>
      <c r="J78" s="53">
        <f t="shared" si="10"/>
        <v>-2726400000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851</v>
      </c>
      <c r="H79" s="36">
        <f t="shared" si="8"/>
        <v>0</v>
      </c>
      <c r="I79" s="11">
        <f t="shared" si="9"/>
        <v>-680800000</v>
      </c>
      <c r="J79" s="53">
        <f t="shared" si="10"/>
        <v>-680800000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850</v>
      </c>
      <c r="H80" s="36">
        <f t="shared" si="8"/>
        <v>0</v>
      </c>
      <c r="I80" s="11">
        <f t="shared" si="9"/>
        <v>-41134050</v>
      </c>
      <c r="J80" s="53">
        <f t="shared" si="10"/>
        <v>0</v>
      </c>
      <c r="K80" s="53">
        <f t="shared" si="11"/>
        <v>-41134050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849</v>
      </c>
      <c r="H81" s="36">
        <f t="shared" si="8"/>
        <v>0</v>
      </c>
      <c r="I81" s="11">
        <f t="shared" si="9"/>
        <v>-118860000</v>
      </c>
      <c r="J81" s="53">
        <f t="shared" si="10"/>
        <v>0</v>
      </c>
      <c r="K81" s="53">
        <f t="shared" si="11"/>
        <v>-118860000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848</v>
      </c>
      <c r="H82" s="36">
        <f t="shared" si="8"/>
        <v>0</v>
      </c>
      <c r="I82" s="11">
        <f t="shared" si="9"/>
        <v>-212000000</v>
      </c>
      <c r="J82" s="53">
        <f t="shared" si="10"/>
        <v>0</v>
      </c>
      <c r="K82" s="53">
        <f t="shared" si="11"/>
        <v>-212000000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847</v>
      </c>
      <c r="H83" s="36">
        <f t="shared" si="8"/>
        <v>0</v>
      </c>
      <c r="I83" s="11">
        <f t="shared" si="9"/>
        <v>-169400000</v>
      </c>
      <c r="J83" s="53">
        <f t="shared" si="10"/>
        <v>0</v>
      </c>
      <c r="K83" s="53">
        <f t="shared" si="11"/>
        <v>-169400000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844</v>
      </c>
      <c r="H84" s="36">
        <f t="shared" si="8"/>
        <v>1</v>
      </c>
      <c r="I84" s="11">
        <f t="shared" si="9"/>
        <v>1378473600</v>
      </c>
      <c r="J84" s="53">
        <f t="shared" si="10"/>
        <v>0</v>
      </c>
      <c r="K84" s="53">
        <f t="shared" si="11"/>
        <v>1378473600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840</v>
      </c>
      <c r="H85" s="36">
        <f t="shared" si="8"/>
        <v>1</v>
      </c>
      <c r="I85" s="11">
        <f t="shared" si="9"/>
        <v>2097500000</v>
      </c>
      <c r="J85" s="53">
        <f t="shared" si="10"/>
        <v>0</v>
      </c>
      <c r="K85" s="53">
        <f t="shared" si="11"/>
        <v>2097500000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836</v>
      </c>
      <c r="H86" s="36">
        <f t="shared" si="8"/>
        <v>1</v>
      </c>
      <c r="I86" s="11">
        <f t="shared" si="9"/>
        <v>155560500</v>
      </c>
      <c r="J86" s="53">
        <f t="shared" si="10"/>
        <v>70933250</v>
      </c>
      <c r="K86" s="53">
        <f t="shared" si="11"/>
        <v>84627250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833</v>
      </c>
      <c r="H87" s="36">
        <f t="shared" si="8"/>
        <v>0</v>
      </c>
      <c r="I87" s="11">
        <f t="shared" si="9"/>
        <v>-166600000</v>
      </c>
      <c r="J87" s="53">
        <f t="shared" si="10"/>
        <v>0</v>
      </c>
      <c r="K87" s="53">
        <f t="shared" si="11"/>
        <v>-166600000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832</v>
      </c>
      <c r="H88" s="36">
        <f t="shared" si="8"/>
        <v>0</v>
      </c>
      <c r="I88" s="11">
        <f t="shared" si="9"/>
        <v>-98176000</v>
      </c>
      <c r="J88" s="53">
        <f t="shared" si="10"/>
        <v>-57408000</v>
      </c>
      <c r="K88" s="53">
        <f t="shared" si="11"/>
        <v>-40768000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824</v>
      </c>
      <c r="H89" s="36">
        <f t="shared" si="8"/>
        <v>0</v>
      </c>
      <c r="I89" s="11">
        <f t="shared" si="9"/>
        <v>-2637541600</v>
      </c>
      <c r="J89" s="53">
        <f t="shared" si="10"/>
        <v>0</v>
      </c>
      <c r="K89" s="53">
        <f t="shared" si="11"/>
        <v>-2637541600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823</v>
      </c>
      <c r="H90" s="36">
        <f t="shared" si="8"/>
        <v>0</v>
      </c>
      <c r="I90" s="11">
        <f t="shared" si="9"/>
        <v>-2634340700</v>
      </c>
      <c r="J90" s="53">
        <f t="shared" si="10"/>
        <v>0</v>
      </c>
      <c r="K90" s="53">
        <f t="shared" si="11"/>
        <v>-2634340700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822</v>
      </c>
      <c r="H91" s="36">
        <f t="shared" si="8"/>
        <v>0</v>
      </c>
      <c r="I91" s="11">
        <f t="shared" si="9"/>
        <v>-2631139800</v>
      </c>
      <c r="J91" s="53">
        <f t="shared" si="10"/>
        <v>0</v>
      </c>
      <c r="K91" s="53">
        <f t="shared" si="11"/>
        <v>-2631139800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821</v>
      </c>
      <c r="H92" s="36">
        <f t="shared" si="8"/>
        <v>0</v>
      </c>
      <c r="I92" s="11">
        <f t="shared" si="9"/>
        <v>-2627938900</v>
      </c>
      <c r="J92" s="53">
        <f t="shared" si="10"/>
        <v>0</v>
      </c>
      <c r="K92" s="53">
        <f t="shared" si="11"/>
        <v>-2627938900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820</v>
      </c>
      <c r="H93" s="36">
        <f t="shared" si="8"/>
        <v>0</v>
      </c>
      <c r="I93" s="11">
        <f t="shared" si="9"/>
        <v>-2624738000</v>
      </c>
      <c r="J93" s="53">
        <f t="shared" si="10"/>
        <v>0</v>
      </c>
      <c r="K93" s="53">
        <f t="shared" si="11"/>
        <v>-2624738000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819</v>
      </c>
      <c r="H94" s="36">
        <f t="shared" si="8"/>
        <v>0</v>
      </c>
      <c r="I94" s="11">
        <f t="shared" si="9"/>
        <v>-2621537100</v>
      </c>
      <c r="J94" s="53">
        <f t="shared" si="10"/>
        <v>0</v>
      </c>
      <c r="K94" s="53">
        <f t="shared" si="11"/>
        <v>-2621537100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817</v>
      </c>
      <c r="H95" s="36">
        <f t="shared" si="8"/>
        <v>0</v>
      </c>
      <c r="I95" s="11">
        <f t="shared" si="9"/>
        <v>-977618932</v>
      </c>
      <c r="J95" s="53">
        <f t="shared" si="10"/>
        <v>0</v>
      </c>
      <c r="K95" s="53">
        <f t="shared" si="11"/>
        <v>-977618932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807</v>
      </c>
      <c r="H96" s="36">
        <f t="shared" si="8"/>
        <v>0</v>
      </c>
      <c r="I96" s="11">
        <f t="shared" si="9"/>
        <v>-161400000</v>
      </c>
      <c r="J96" s="53">
        <f t="shared" si="10"/>
        <v>0</v>
      </c>
      <c r="K96" s="53">
        <f t="shared" si="11"/>
        <v>-161400000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806</v>
      </c>
      <c r="H97" s="36">
        <f t="shared" si="8"/>
        <v>1</v>
      </c>
      <c r="I97" s="11">
        <f t="shared" si="9"/>
        <v>128444190</v>
      </c>
      <c r="J97" s="53">
        <f t="shared" si="10"/>
        <v>55485430</v>
      </c>
      <c r="K97" s="53">
        <f t="shared" si="11"/>
        <v>72958760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801</v>
      </c>
      <c r="H98" s="36">
        <f t="shared" si="8"/>
        <v>1</v>
      </c>
      <c r="I98" s="11">
        <f t="shared" si="9"/>
        <v>91494400</v>
      </c>
      <c r="J98" s="53">
        <f t="shared" si="10"/>
        <v>0</v>
      </c>
      <c r="K98" s="53">
        <f t="shared" si="11"/>
        <v>91494400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798</v>
      </c>
      <c r="H99" s="36">
        <f t="shared" si="8"/>
        <v>0</v>
      </c>
      <c r="I99" s="11">
        <f t="shared" si="9"/>
        <v>-1057350000</v>
      </c>
      <c r="J99" s="53">
        <f t="shared" si="10"/>
        <v>0</v>
      </c>
      <c r="K99" s="53">
        <f t="shared" si="11"/>
        <v>-1057350000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793</v>
      </c>
      <c r="H100" s="36">
        <f t="shared" si="8"/>
        <v>1</v>
      </c>
      <c r="I100" s="11">
        <f t="shared" si="9"/>
        <v>1049400000</v>
      </c>
      <c r="J100" s="53">
        <f t="shared" si="10"/>
        <v>0</v>
      </c>
      <c r="K100" s="53">
        <f t="shared" si="11"/>
        <v>1049400000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776</v>
      </c>
      <c r="H101" s="36">
        <f t="shared" si="8"/>
        <v>1</v>
      </c>
      <c r="I101" s="11">
        <f t="shared" si="9"/>
        <v>51804875</v>
      </c>
      <c r="J101" s="53">
        <f t="shared" si="10"/>
        <v>51804875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773</v>
      </c>
      <c r="H102" s="36">
        <f t="shared" si="8"/>
        <v>1</v>
      </c>
      <c r="I102" s="11">
        <f t="shared" si="9"/>
        <v>2316000000</v>
      </c>
      <c r="J102" s="53">
        <f t="shared" si="10"/>
        <v>0</v>
      </c>
      <c r="K102" s="53">
        <f t="shared" si="11"/>
        <v>2316000000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766</v>
      </c>
      <c r="H103" s="36">
        <f t="shared" si="8"/>
        <v>0</v>
      </c>
      <c r="I103" s="11">
        <f t="shared" si="9"/>
        <v>-766000000</v>
      </c>
      <c r="J103" s="53">
        <f t="shared" si="10"/>
        <v>-766000000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756</v>
      </c>
      <c r="H104" s="36">
        <f t="shared" si="8"/>
        <v>1</v>
      </c>
      <c r="I104" s="11">
        <f t="shared" si="9"/>
        <v>2265000000</v>
      </c>
      <c r="J104" s="53">
        <f t="shared" si="10"/>
        <v>2265000000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755</v>
      </c>
      <c r="H105" s="36">
        <f t="shared" si="8"/>
        <v>1</v>
      </c>
      <c r="I105" s="11">
        <f t="shared" si="9"/>
        <v>844480000</v>
      </c>
      <c r="J105" s="53">
        <f t="shared" si="10"/>
        <v>844480000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755</v>
      </c>
      <c r="H106" s="36">
        <f t="shared" si="8"/>
        <v>0</v>
      </c>
      <c r="I106" s="11">
        <f t="shared" si="9"/>
        <v>-2265000000</v>
      </c>
      <c r="J106" s="53">
        <f t="shared" si="10"/>
        <v>0</v>
      </c>
      <c r="K106" s="53">
        <f t="shared" si="11"/>
        <v>-2265000000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746</v>
      </c>
      <c r="H107" s="36">
        <f t="shared" si="8"/>
        <v>1</v>
      </c>
      <c r="I107" s="11">
        <f t="shared" si="9"/>
        <v>67418030</v>
      </c>
      <c r="J107" s="53">
        <f t="shared" si="10"/>
        <v>55960675</v>
      </c>
      <c r="K107" s="53">
        <f t="shared" si="11"/>
        <v>11457355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744</v>
      </c>
      <c r="H108" s="36">
        <f t="shared" si="8"/>
        <v>0</v>
      </c>
      <c r="I108" s="11">
        <f t="shared" si="9"/>
        <v>-1265320800</v>
      </c>
      <c r="J108" s="53">
        <f t="shared" si="10"/>
        <v>0</v>
      </c>
      <c r="K108" s="53">
        <f t="shared" si="11"/>
        <v>-1265320800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740</v>
      </c>
      <c r="H109" s="36">
        <f t="shared" si="8"/>
        <v>0</v>
      </c>
      <c r="I109" s="11">
        <f t="shared" si="9"/>
        <v>-740370000</v>
      </c>
      <c r="J109" s="53">
        <f t="shared" si="10"/>
        <v>0</v>
      </c>
      <c r="K109" s="53">
        <f t="shared" si="11"/>
        <v>-740370000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737</v>
      </c>
      <c r="H110" s="36">
        <f t="shared" si="8"/>
        <v>1</v>
      </c>
      <c r="I110" s="11">
        <f t="shared" si="9"/>
        <v>14720000000</v>
      </c>
      <c r="J110" s="53">
        <f t="shared" si="10"/>
        <v>0</v>
      </c>
      <c r="K110" s="53">
        <f t="shared" si="11"/>
        <v>14720000000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717</v>
      </c>
      <c r="H111" s="36">
        <f t="shared" si="8"/>
        <v>1</v>
      </c>
      <c r="I111" s="11">
        <f t="shared" si="9"/>
        <v>125069448</v>
      </c>
      <c r="J111" s="53">
        <f t="shared" si="10"/>
        <v>62551908</v>
      </c>
      <c r="K111" s="53">
        <f t="shared" si="11"/>
        <v>62517540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701</v>
      </c>
      <c r="H112" s="36">
        <f t="shared" si="8"/>
        <v>0</v>
      </c>
      <c r="I112" s="11">
        <f t="shared" si="9"/>
        <v>-19908400000</v>
      </c>
      <c r="J112" s="53">
        <f t="shared" si="10"/>
        <v>0</v>
      </c>
      <c r="K112" s="53">
        <f t="shared" si="11"/>
        <v>-19908400000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686</v>
      </c>
      <c r="H113" s="36">
        <f t="shared" si="8"/>
        <v>1</v>
      </c>
      <c r="I113" s="11">
        <f t="shared" si="9"/>
        <v>111682400</v>
      </c>
      <c r="J113" s="53">
        <f t="shared" si="10"/>
        <v>83920035</v>
      </c>
      <c r="K113" s="53">
        <f t="shared" si="11"/>
        <v>27762365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686</v>
      </c>
      <c r="H114" s="36">
        <f t="shared" si="8"/>
        <v>0</v>
      </c>
      <c r="I114" s="11">
        <f t="shared" si="9"/>
        <v>-3910200</v>
      </c>
      <c r="J114" s="53">
        <f t="shared" si="10"/>
        <v>-1715000</v>
      </c>
      <c r="K114" s="53">
        <f t="shared" si="11"/>
        <v>-2195200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673</v>
      </c>
      <c r="H115" s="36">
        <f t="shared" si="8"/>
        <v>0</v>
      </c>
      <c r="I115" s="11">
        <f t="shared" si="9"/>
        <v>0</v>
      </c>
      <c r="J115" s="53">
        <f t="shared" si="10"/>
        <v>336500000</v>
      </c>
      <c r="K115" s="53">
        <f t="shared" si="11"/>
        <v>-336500000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665</v>
      </c>
      <c r="H116" s="36">
        <f t="shared" si="8"/>
        <v>0</v>
      </c>
      <c r="I116" s="11">
        <f t="shared" si="9"/>
        <v>-106400000</v>
      </c>
      <c r="J116" s="53">
        <f t="shared" si="10"/>
        <v>0</v>
      </c>
      <c r="K116" s="53">
        <f t="shared" si="11"/>
        <v>-106400000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656</v>
      </c>
      <c r="H117" s="36">
        <f t="shared" si="8"/>
        <v>1</v>
      </c>
      <c r="I117" s="11">
        <f t="shared" si="9"/>
        <v>969400</v>
      </c>
      <c r="J117" s="53">
        <f t="shared" si="10"/>
        <v>70046355</v>
      </c>
      <c r="K117" s="53">
        <f t="shared" si="11"/>
        <v>-69076955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634</v>
      </c>
      <c r="H118" s="36">
        <f t="shared" si="8"/>
        <v>1</v>
      </c>
      <c r="I118" s="11">
        <f t="shared" si="9"/>
        <v>24939883500</v>
      </c>
      <c r="J118" s="53">
        <f t="shared" si="10"/>
        <v>0</v>
      </c>
      <c r="K118" s="53">
        <f t="shared" si="11"/>
        <v>24939883500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625</v>
      </c>
      <c r="H119" s="36">
        <f t="shared" si="8"/>
        <v>1</v>
      </c>
      <c r="I119" s="11">
        <f t="shared" si="9"/>
        <v>59605104</v>
      </c>
      <c r="J119" s="53">
        <f t="shared" si="10"/>
        <v>68673696</v>
      </c>
      <c r="K119" s="53">
        <f t="shared" si="11"/>
        <v>-9068592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621</v>
      </c>
      <c r="H120" s="11">
        <f t="shared" si="8"/>
        <v>1</v>
      </c>
      <c r="I120" s="11">
        <f t="shared" ref="I120:I296" si="13">B120*(G120-H120)</f>
        <v>1240000000</v>
      </c>
      <c r="J120" s="11">
        <f t="shared" si="10"/>
        <v>0</v>
      </c>
      <c r="K120" s="11">
        <f t="shared" si="11"/>
        <v>1240000000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595</v>
      </c>
      <c r="H121" s="11">
        <f t="shared" si="8"/>
        <v>1</v>
      </c>
      <c r="I121" s="11">
        <f t="shared" si="13"/>
        <v>1544400000</v>
      </c>
      <c r="J121" s="11">
        <f t="shared" si="10"/>
        <v>0</v>
      </c>
      <c r="K121" s="11">
        <f t="shared" si="11"/>
        <v>1544400000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594</v>
      </c>
      <c r="H122" s="11">
        <f t="shared" si="8"/>
        <v>1</v>
      </c>
      <c r="I122" s="11">
        <f t="shared" si="13"/>
        <v>228038743</v>
      </c>
      <c r="J122" s="11">
        <f t="shared" si="10"/>
        <v>65768444</v>
      </c>
      <c r="K122" s="11">
        <f t="shared" si="11"/>
        <v>162270299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593</v>
      </c>
      <c r="H123" s="11">
        <f t="shared" si="8"/>
        <v>0</v>
      </c>
      <c r="I123" s="11">
        <f t="shared" si="13"/>
        <v>0</v>
      </c>
      <c r="J123" s="11">
        <f t="shared" si="10"/>
        <v>474400000</v>
      </c>
      <c r="K123" s="11">
        <f t="shared" si="11"/>
        <v>-474400000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579</v>
      </c>
      <c r="H124" s="11">
        <f t="shared" si="8"/>
        <v>0</v>
      </c>
      <c r="I124" s="11">
        <f t="shared" si="13"/>
        <v>-1737000000</v>
      </c>
      <c r="J124" s="11">
        <f t="shared" si="10"/>
        <v>0</v>
      </c>
      <c r="K124" s="11">
        <f t="shared" si="11"/>
        <v>-1737000000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564</v>
      </c>
      <c r="H125" s="11">
        <f t="shared" si="8"/>
        <v>1</v>
      </c>
      <c r="I125" s="11">
        <f t="shared" si="13"/>
        <v>225599730</v>
      </c>
      <c r="J125" s="11">
        <f t="shared" si="10"/>
        <v>66926625</v>
      </c>
      <c r="K125" s="11">
        <f t="shared" si="11"/>
        <v>158673105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564</v>
      </c>
      <c r="H126" s="11">
        <f t="shared" si="8"/>
        <v>1</v>
      </c>
      <c r="I126" s="11">
        <f t="shared" si="13"/>
        <v>23646000000</v>
      </c>
      <c r="J126" s="11">
        <f t="shared" si="10"/>
        <v>0</v>
      </c>
      <c r="K126" s="11">
        <f t="shared" si="11"/>
        <v>23646000000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539</v>
      </c>
      <c r="H127" s="11">
        <f t="shared" si="8"/>
        <v>0</v>
      </c>
      <c r="I127" s="11">
        <f t="shared" si="13"/>
        <v>-2695000</v>
      </c>
      <c r="J127" s="11">
        <f t="shared" si="10"/>
        <v>0</v>
      </c>
      <c r="K127" s="11">
        <f t="shared" si="11"/>
        <v>-2695000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533</v>
      </c>
      <c r="H128" s="11">
        <f t="shared" si="8"/>
        <v>1</v>
      </c>
      <c r="I128" s="11">
        <f t="shared" si="13"/>
        <v>410370968</v>
      </c>
      <c r="J128" s="11">
        <f t="shared" si="10"/>
        <v>64210804</v>
      </c>
      <c r="K128" s="11">
        <f t="shared" si="11"/>
        <v>346160164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530</v>
      </c>
      <c r="H129" s="11">
        <f t="shared" si="8"/>
        <v>1</v>
      </c>
      <c r="I129" s="11">
        <f t="shared" si="13"/>
        <v>1322500000</v>
      </c>
      <c r="J129" s="11">
        <f t="shared" si="10"/>
        <v>0</v>
      </c>
      <c r="K129" s="11">
        <f t="shared" si="11"/>
        <v>1322500000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516</v>
      </c>
      <c r="H130" s="11">
        <f t="shared" si="8"/>
        <v>0</v>
      </c>
      <c r="I130" s="11">
        <f t="shared" si="13"/>
        <v>-516000000</v>
      </c>
      <c r="J130" s="11">
        <f t="shared" si="10"/>
        <v>-516000000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511</v>
      </c>
      <c r="H131" s="11">
        <f t="shared" si="8"/>
        <v>0</v>
      </c>
      <c r="I131" s="11">
        <f t="shared" si="13"/>
        <v>-25550000000</v>
      </c>
      <c r="J131" s="11">
        <f t="shared" si="10"/>
        <v>0</v>
      </c>
      <c r="K131" s="11">
        <f t="shared" si="11"/>
        <v>-25550000000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503</v>
      </c>
      <c r="H132" s="11">
        <f t="shared" ref="H132:H308" si="15">IF(B132&gt;0,1,0)</f>
        <v>1</v>
      </c>
      <c r="I132" s="11">
        <f t="shared" si="13"/>
        <v>308372074</v>
      </c>
      <c r="J132" s="11">
        <f t="shared" ref="J132:J206" si="16">C132*(G132-H132)</f>
        <v>53197442</v>
      </c>
      <c r="K132" s="11">
        <f t="shared" ref="K132:K281" si="17">D132*(G132-H132)</f>
        <v>255174632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499</v>
      </c>
      <c r="H133" s="11">
        <f t="shared" si="15"/>
        <v>0</v>
      </c>
      <c r="I133" s="11">
        <f t="shared" si="13"/>
        <v>-604139300</v>
      </c>
      <c r="J133" s="11">
        <f t="shared" si="16"/>
        <v>0</v>
      </c>
      <c r="K133" s="11">
        <f t="shared" si="17"/>
        <v>-604139300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490</v>
      </c>
      <c r="H134" s="11">
        <f t="shared" si="15"/>
        <v>0</v>
      </c>
      <c r="I134" s="11">
        <f t="shared" si="13"/>
        <v>-31850000</v>
      </c>
      <c r="J134" s="11">
        <f t="shared" si="16"/>
        <v>0</v>
      </c>
      <c r="K134" s="11">
        <f t="shared" si="17"/>
        <v>-31850000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490</v>
      </c>
      <c r="H135" s="11">
        <f t="shared" si="15"/>
        <v>0</v>
      </c>
      <c r="I135" s="11">
        <f t="shared" si="13"/>
        <v>-15827000</v>
      </c>
      <c r="J135" s="11">
        <f t="shared" si="16"/>
        <v>0</v>
      </c>
      <c r="K135" s="11">
        <f t="shared" si="17"/>
        <v>-15827000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482</v>
      </c>
      <c r="H136" s="11">
        <f t="shared" si="15"/>
        <v>0</v>
      </c>
      <c r="I136" s="11">
        <f t="shared" si="13"/>
        <v>-482000000</v>
      </c>
      <c r="J136" s="11">
        <f t="shared" si="16"/>
        <v>-482000000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473</v>
      </c>
      <c r="H137" s="11">
        <f t="shared" si="15"/>
        <v>1</v>
      </c>
      <c r="I137" s="11">
        <f t="shared" si="13"/>
        <v>137292056</v>
      </c>
      <c r="J137" s="11">
        <f t="shared" si="16"/>
        <v>45953448</v>
      </c>
      <c r="K137" s="11">
        <f t="shared" si="17"/>
        <v>91338608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456</v>
      </c>
      <c r="H138" s="11">
        <f t="shared" si="15"/>
        <v>0</v>
      </c>
      <c r="I138" s="11">
        <f t="shared" si="13"/>
        <v>-456228000</v>
      </c>
      <c r="J138" s="11">
        <f t="shared" si="16"/>
        <v>-456228000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444</v>
      </c>
      <c r="H139" s="11">
        <f t="shared" si="15"/>
        <v>1</v>
      </c>
      <c r="I139" s="11">
        <f t="shared" si="13"/>
        <v>125032320</v>
      </c>
      <c r="J139" s="11">
        <f t="shared" si="16"/>
        <v>39341501</v>
      </c>
      <c r="K139" s="11">
        <f t="shared" si="17"/>
        <v>85690819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441</v>
      </c>
      <c r="H140" s="11">
        <f t="shared" si="15"/>
        <v>1</v>
      </c>
      <c r="I140" s="11">
        <f t="shared" si="13"/>
        <v>660000000</v>
      </c>
      <c r="J140" s="11">
        <f t="shared" si="16"/>
        <v>0</v>
      </c>
      <c r="K140" s="11">
        <f t="shared" si="17"/>
        <v>660000000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428</v>
      </c>
      <c r="H141" s="11">
        <f t="shared" si="15"/>
        <v>0</v>
      </c>
      <c r="I141" s="11">
        <f t="shared" si="13"/>
        <v>0</v>
      </c>
      <c r="J141" s="11">
        <f t="shared" si="16"/>
        <v>-428000000</v>
      </c>
      <c r="K141" s="11">
        <f t="shared" si="17"/>
        <v>428000000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414</v>
      </c>
      <c r="H142" s="11">
        <f t="shared" si="15"/>
        <v>1</v>
      </c>
      <c r="I142" s="11">
        <f t="shared" si="13"/>
        <v>120138809</v>
      </c>
      <c r="J142" s="11">
        <f t="shared" si="16"/>
        <v>33462086</v>
      </c>
      <c r="K142" s="11">
        <f t="shared" si="17"/>
        <v>86676723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394</v>
      </c>
      <c r="H143" s="11">
        <f t="shared" si="15"/>
        <v>0</v>
      </c>
      <c r="I143" s="11">
        <f t="shared" si="13"/>
        <v>0</v>
      </c>
      <c r="J143" s="11">
        <f t="shared" si="16"/>
        <v>-394000000</v>
      </c>
      <c r="K143" s="11">
        <f t="shared" si="17"/>
        <v>394000000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384</v>
      </c>
      <c r="H144" s="11">
        <f t="shared" si="15"/>
        <v>1</v>
      </c>
      <c r="I144" s="11">
        <f t="shared" si="13"/>
        <v>112928316</v>
      </c>
      <c r="J144" s="11">
        <f t="shared" si="16"/>
        <v>28593631</v>
      </c>
      <c r="K144" s="11">
        <f t="shared" si="17"/>
        <v>84334685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369</v>
      </c>
      <c r="H145" s="11">
        <f t="shared" si="15"/>
        <v>0</v>
      </c>
      <c r="I145" s="11">
        <f t="shared" si="13"/>
        <v>-3690000</v>
      </c>
      <c r="J145" s="11">
        <f t="shared" si="16"/>
        <v>-1845000</v>
      </c>
      <c r="K145" s="11">
        <f t="shared" si="17"/>
        <v>-1845000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364</v>
      </c>
      <c r="H146" s="11">
        <f t="shared" si="15"/>
        <v>0</v>
      </c>
      <c r="I146" s="11">
        <f t="shared" si="13"/>
        <v>-364182000</v>
      </c>
      <c r="J146" s="11">
        <f t="shared" si="16"/>
        <v>-364182000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358</v>
      </c>
      <c r="H147" s="11">
        <f t="shared" si="15"/>
        <v>0</v>
      </c>
      <c r="I147" s="11">
        <f t="shared" si="13"/>
        <v>-9666000000</v>
      </c>
      <c r="J147" s="11">
        <f t="shared" si="16"/>
        <v>0</v>
      </c>
      <c r="K147" s="11">
        <f t="shared" si="17"/>
        <v>-9666000000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355</v>
      </c>
      <c r="H148" s="11">
        <f t="shared" si="15"/>
        <v>1</v>
      </c>
      <c r="I148" s="11">
        <f t="shared" si="13"/>
        <v>89362344</v>
      </c>
      <c r="J148" s="11">
        <f t="shared" si="16"/>
        <v>23190540</v>
      </c>
      <c r="K148" s="11">
        <f t="shared" si="17"/>
        <v>66171804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40" si="18">B149-C149</f>
        <v>52400000</v>
      </c>
      <c r="E149" s="11" t="s">
        <v>1074</v>
      </c>
      <c r="F149" s="11">
        <v>7</v>
      </c>
      <c r="G149" s="36">
        <f t="shared" si="14"/>
        <v>347</v>
      </c>
      <c r="H149" s="11">
        <f t="shared" si="15"/>
        <v>1</v>
      </c>
      <c r="I149" s="11">
        <f t="shared" si="13"/>
        <v>18130400000</v>
      </c>
      <c r="J149" s="11">
        <f t="shared" si="16"/>
        <v>0</v>
      </c>
      <c r="K149" s="11">
        <f t="shared" si="17"/>
        <v>18130400000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340</v>
      </c>
      <c r="H150" s="11">
        <f t="shared" si="15"/>
        <v>0</v>
      </c>
      <c r="I150" s="11">
        <f t="shared" si="13"/>
        <v>-17680000000</v>
      </c>
      <c r="J150" s="11">
        <f t="shared" si="16"/>
        <v>0</v>
      </c>
      <c r="K150" s="11">
        <f t="shared" si="17"/>
        <v>-17680000000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335</v>
      </c>
      <c r="H151" s="99">
        <f t="shared" si="15"/>
        <v>0</v>
      </c>
      <c r="I151" s="99">
        <f t="shared" si="13"/>
        <v>-2680000000</v>
      </c>
      <c r="J151" s="99">
        <f t="shared" si="16"/>
        <v>-2268663885</v>
      </c>
      <c r="K151" s="11">
        <f t="shared" si="17"/>
        <v>-411336115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335</v>
      </c>
      <c r="H152" s="99">
        <f t="shared" si="15"/>
        <v>0</v>
      </c>
      <c r="I152" s="99">
        <f t="shared" si="13"/>
        <v>-10462050</v>
      </c>
      <c r="J152" s="99">
        <f t="shared" si="16"/>
        <v>0</v>
      </c>
      <c r="K152" s="99">
        <f t="shared" si="17"/>
        <v>-10462050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324</v>
      </c>
      <c r="H153" s="99">
        <f t="shared" si="15"/>
        <v>1</v>
      </c>
      <c r="I153" s="99">
        <f t="shared" si="13"/>
        <v>43633101</v>
      </c>
      <c r="J153" s="99">
        <f t="shared" si="16"/>
        <v>13284990</v>
      </c>
      <c r="K153" s="99">
        <f t="shared" si="17"/>
        <v>30348111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321</v>
      </c>
      <c r="H154" s="99">
        <f t="shared" si="15"/>
        <v>1</v>
      </c>
      <c r="I154" s="99">
        <f t="shared" si="13"/>
        <v>2183706240</v>
      </c>
      <c r="J154" s="99">
        <f t="shared" si="16"/>
        <v>2183706240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316</v>
      </c>
      <c r="H155" s="99">
        <f t="shared" si="15"/>
        <v>0</v>
      </c>
      <c r="I155" s="99">
        <f t="shared" si="13"/>
        <v>-63200000</v>
      </c>
      <c r="J155" s="99">
        <f t="shared" si="16"/>
        <v>0</v>
      </c>
      <c r="K155" s="99">
        <f t="shared" si="17"/>
        <v>-63200000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316</v>
      </c>
      <c r="H156" s="99">
        <f t="shared" si="15"/>
        <v>0</v>
      </c>
      <c r="I156" s="99">
        <f t="shared" si="13"/>
        <v>-78317440</v>
      </c>
      <c r="J156" s="99">
        <f t="shared" si="16"/>
        <v>0</v>
      </c>
      <c r="K156" s="99">
        <f t="shared" si="17"/>
        <v>-78317440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315</v>
      </c>
      <c r="H157" s="99">
        <f t="shared" si="15"/>
        <v>0</v>
      </c>
      <c r="I157" s="99">
        <f t="shared" si="13"/>
        <v>-51137100</v>
      </c>
      <c r="J157" s="99">
        <f t="shared" si="16"/>
        <v>0</v>
      </c>
      <c r="K157" s="99">
        <f t="shared" si="17"/>
        <v>-51137100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315</v>
      </c>
      <c r="H158" s="99">
        <f t="shared" si="15"/>
        <v>0</v>
      </c>
      <c r="I158" s="99">
        <f t="shared" si="13"/>
        <v>-945283500</v>
      </c>
      <c r="J158" s="99">
        <f t="shared" si="16"/>
        <v>0</v>
      </c>
      <c r="K158" s="99">
        <f t="shared" si="17"/>
        <v>-945283500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313</v>
      </c>
      <c r="H159" s="99">
        <f t="shared" si="15"/>
        <v>0</v>
      </c>
      <c r="I159" s="99">
        <f t="shared" si="13"/>
        <v>-313156500</v>
      </c>
      <c r="J159" s="99">
        <f t="shared" si="16"/>
        <v>0</v>
      </c>
      <c r="K159" s="99">
        <f t="shared" si="17"/>
        <v>-313156500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309</v>
      </c>
      <c r="H160" s="99">
        <f t="shared" si="15"/>
        <v>0</v>
      </c>
      <c r="I160" s="99">
        <f t="shared" si="13"/>
        <v>-30900000</v>
      </c>
      <c r="J160" s="99">
        <f t="shared" si="16"/>
        <v>0</v>
      </c>
      <c r="K160" s="99">
        <f t="shared" si="17"/>
        <v>-30900000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308</v>
      </c>
      <c r="H161" s="99">
        <f t="shared" si="15"/>
        <v>0</v>
      </c>
      <c r="I161" s="99">
        <f t="shared" si="13"/>
        <v>-616000000</v>
      </c>
      <c r="J161" s="99">
        <f t="shared" si="16"/>
        <v>0</v>
      </c>
      <c r="K161" s="99">
        <f t="shared" si="17"/>
        <v>-616000000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308</v>
      </c>
      <c r="H162" s="99">
        <f t="shared" si="15"/>
        <v>0</v>
      </c>
      <c r="I162" s="99">
        <f t="shared" si="13"/>
        <v>-308154000</v>
      </c>
      <c r="J162" s="99">
        <f t="shared" si="16"/>
        <v>0</v>
      </c>
      <c r="K162" s="99">
        <f t="shared" si="17"/>
        <v>-308154000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305</v>
      </c>
      <c r="H163" s="99">
        <f t="shared" si="15"/>
        <v>0</v>
      </c>
      <c r="I163" s="99">
        <f t="shared" si="13"/>
        <v>-1525000</v>
      </c>
      <c r="J163" s="99">
        <f t="shared" si="16"/>
        <v>0</v>
      </c>
      <c r="K163" s="99">
        <f t="shared" si="17"/>
        <v>-1525000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295</v>
      </c>
      <c r="H164" s="99">
        <f t="shared" si="15"/>
        <v>1</v>
      </c>
      <c r="I164" s="99">
        <f t="shared" si="13"/>
        <v>882000000</v>
      </c>
      <c r="J164" s="99">
        <f t="shared" si="16"/>
        <v>0</v>
      </c>
      <c r="K164" s="99">
        <f t="shared" si="17"/>
        <v>882000000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294</v>
      </c>
      <c r="H165" s="99">
        <f t="shared" si="15"/>
        <v>1</v>
      </c>
      <c r="I165" s="99">
        <f t="shared" si="13"/>
        <v>879000000</v>
      </c>
      <c r="J165" s="99">
        <f t="shared" si="16"/>
        <v>0</v>
      </c>
      <c r="K165" s="99">
        <f t="shared" si="17"/>
        <v>879000000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293</v>
      </c>
      <c r="H166" s="99">
        <f t="shared" si="15"/>
        <v>1</v>
      </c>
      <c r="I166" s="99">
        <f t="shared" si="13"/>
        <v>5931688</v>
      </c>
      <c r="J166" s="99">
        <f t="shared" si="16"/>
        <v>17473864</v>
      </c>
      <c r="K166" s="99">
        <f t="shared" si="17"/>
        <v>-11542176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288</v>
      </c>
      <c r="H167" s="99">
        <f t="shared" si="15"/>
        <v>0</v>
      </c>
      <c r="I167" s="99">
        <f t="shared" si="13"/>
        <v>-864259200</v>
      </c>
      <c r="J167" s="99">
        <f t="shared" si="16"/>
        <v>0</v>
      </c>
      <c r="K167" s="99">
        <f t="shared" si="17"/>
        <v>-864259200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270</v>
      </c>
      <c r="H168" s="99">
        <f t="shared" si="15"/>
        <v>0</v>
      </c>
      <c r="I168" s="99">
        <f t="shared" si="13"/>
        <v>-810243000</v>
      </c>
      <c r="J168" s="99">
        <f t="shared" si="16"/>
        <v>0</v>
      </c>
      <c r="K168" s="99">
        <f t="shared" si="17"/>
        <v>-810243000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262</v>
      </c>
      <c r="H169" s="99">
        <f t="shared" si="15"/>
        <v>1</v>
      </c>
      <c r="I169" s="99">
        <f t="shared" si="13"/>
        <v>5665005</v>
      </c>
      <c r="J169" s="99">
        <f t="shared" si="16"/>
        <v>17882415</v>
      </c>
      <c r="K169" s="99">
        <f t="shared" si="17"/>
        <v>-12217410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238</v>
      </c>
      <c r="H170" s="99">
        <f t="shared" si="15"/>
        <v>1</v>
      </c>
      <c r="I170" s="99">
        <f t="shared" si="13"/>
        <v>1185000000</v>
      </c>
      <c r="J170" s="99">
        <f t="shared" si="16"/>
        <v>0</v>
      </c>
      <c r="K170" s="99">
        <f t="shared" si="17"/>
        <v>1185000000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237</v>
      </c>
      <c r="H171" s="99">
        <f t="shared" si="15"/>
        <v>0</v>
      </c>
      <c r="I171" s="99">
        <f t="shared" si="13"/>
        <v>-1185000000</v>
      </c>
      <c r="J171" s="99">
        <f t="shared" si="16"/>
        <v>0</v>
      </c>
      <c r="K171" s="99">
        <f t="shared" si="17"/>
        <v>-1185000000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231</v>
      </c>
      <c r="H172" s="99">
        <f t="shared" si="15"/>
        <v>1</v>
      </c>
      <c r="I172" s="99">
        <f t="shared" si="13"/>
        <v>114080</v>
      </c>
      <c r="J172" s="99">
        <f t="shared" si="16"/>
        <v>14416630</v>
      </c>
      <c r="K172" s="99">
        <f t="shared" si="17"/>
        <v>-14302550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230</v>
      </c>
      <c r="H173" s="99">
        <f t="shared" si="15"/>
        <v>1</v>
      </c>
      <c r="I173" s="99">
        <f t="shared" si="13"/>
        <v>179765000</v>
      </c>
      <c r="J173" s="99">
        <f t="shared" si="16"/>
        <v>0</v>
      </c>
      <c r="K173" s="99">
        <f t="shared" si="17"/>
        <v>179765000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219</v>
      </c>
      <c r="H174" s="99">
        <f t="shared" si="15"/>
        <v>0</v>
      </c>
      <c r="I174" s="99">
        <f t="shared" si="13"/>
        <v>-7008000</v>
      </c>
      <c r="J174" s="99">
        <f t="shared" si="16"/>
        <v>0</v>
      </c>
      <c r="K174" s="99">
        <f t="shared" si="17"/>
        <v>-7008000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217</v>
      </c>
      <c r="H175" s="99">
        <f t="shared" si="15"/>
        <v>0</v>
      </c>
      <c r="I175" s="99">
        <f t="shared" si="13"/>
        <v>-162750000</v>
      </c>
      <c r="J175" s="99">
        <f t="shared" si="16"/>
        <v>0</v>
      </c>
      <c r="K175" s="99">
        <f t="shared" si="17"/>
        <v>-162750000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208</v>
      </c>
      <c r="H176" s="99">
        <f t="shared" si="15"/>
        <v>0</v>
      </c>
      <c r="I176" s="99">
        <f t="shared" si="13"/>
        <v>-1954368</v>
      </c>
      <c r="J176" s="99">
        <f t="shared" si="16"/>
        <v>0</v>
      </c>
      <c r="K176" s="99">
        <f t="shared" si="17"/>
        <v>-1954368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207</v>
      </c>
      <c r="H177" s="99">
        <f t="shared" si="15"/>
        <v>0</v>
      </c>
      <c r="I177" s="99">
        <f t="shared" si="13"/>
        <v>-8963100</v>
      </c>
      <c r="J177" s="99">
        <f t="shared" si="16"/>
        <v>0</v>
      </c>
      <c r="K177" s="99">
        <f t="shared" si="17"/>
        <v>-8963100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204</v>
      </c>
      <c r="H178" s="99">
        <f t="shared" si="15"/>
        <v>1</v>
      </c>
      <c r="I178" s="99">
        <f t="shared" si="13"/>
        <v>73080000</v>
      </c>
      <c r="J178" s="99">
        <f t="shared" si="16"/>
        <v>0</v>
      </c>
      <c r="K178" s="99">
        <f t="shared" si="17"/>
        <v>73080000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202</v>
      </c>
      <c r="H179" s="99">
        <f t="shared" si="15"/>
        <v>1</v>
      </c>
      <c r="I179" s="99">
        <f t="shared" si="13"/>
        <v>603000000</v>
      </c>
      <c r="J179" s="99">
        <f t="shared" si="16"/>
        <v>0</v>
      </c>
      <c r="K179" s="99">
        <f t="shared" si="17"/>
        <v>603000000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202</v>
      </c>
      <c r="H180" s="99">
        <f t="shared" si="15"/>
        <v>0</v>
      </c>
      <c r="I180" s="99">
        <f t="shared" si="13"/>
        <v>-2434100</v>
      </c>
      <c r="J180" s="99">
        <f t="shared" si="16"/>
        <v>0</v>
      </c>
      <c r="K180" s="99">
        <f t="shared" si="17"/>
        <v>-2434100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200</v>
      </c>
      <c r="H181" s="99">
        <f t="shared" si="15"/>
        <v>1</v>
      </c>
      <c r="I181" s="99">
        <f t="shared" si="13"/>
        <v>597000000</v>
      </c>
      <c r="J181" s="99">
        <f t="shared" si="16"/>
        <v>0</v>
      </c>
      <c r="K181" s="99">
        <f t="shared" si="17"/>
        <v>597000000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198</v>
      </c>
      <c r="H182" s="99">
        <f t="shared" si="15"/>
        <v>0</v>
      </c>
      <c r="I182" s="99">
        <f t="shared" si="13"/>
        <v>-7088400</v>
      </c>
      <c r="J182" s="99">
        <f t="shared" si="16"/>
        <v>0</v>
      </c>
      <c r="K182" s="99">
        <f t="shared" si="17"/>
        <v>-7088400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197</v>
      </c>
      <c r="H183" s="99">
        <f t="shared" si="15"/>
        <v>1</v>
      </c>
      <c r="I183" s="99">
        <f t="shared" si="13"/>
        <v>705600000</v>
      </c>
      <c r="J183" s="99">
        <f t="shared" si="16"/>
        <v>0</v>
      </c>
      <c r="K183" s="99">
        <f t="shared" si="17"/>
        <v>705600000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197</v>
      </c>
      <c r="H184" s="99">
        <f t="shared" si="15"/>
        <v>0</v>
      </c>
      <c r="I184" s="99">
        <f t="shared" si="13"/>
        <v>-6575269</v>
      </c>
      <c r="J184" s="99">
        <f t="shared" si="16"/>
        <v>0</v>
      </c>
      <c r="K184" s="99">
        <f t="shared" si="17"/>
        <v>-6575269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194</v>
      </c>
      <c r="H185" s="99">
        <f t="shared" si="15"/>
        <v>0</v>
      </c>
      <c r="I185" s="99">
        <f t="shared" si="13"/>
        <v>-1901200000</v>
      </c>
      <c r="J185" s="99">
        <f t="shared" si="16"/>
        <v>0</v>
      </c>
      <c r="K185" s="99">
        <f t="shared" si="17"/>
        <v>-1901200000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194</v>
      </c>
      <c r="H186" s="99">
        <f t="shared" si="15"/>
        <v>1</v>
      </c>
      <c r="I186" s="99">
        <f t="shared" si="13"/>
        <v>3474000000</v>
      </c>
      <c r="J186" s="99">
        <f t="shared" si="16"/>
        <v>0</v>
      </c>
      <c r="K186" s="99">
        <f t="shared" si="17"/>
        <v>3474000000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194</v>
      </c>
      <c r="H187" s="99">
        <f t="shared" si="15"/>
        <v>0</v>
      </c>
      <c r="I187" s="99">
        <f t="shared" si="13"/>
        <v>-1746000000</v>
      </c>
      <c r="J187" s="99">
        <f t="shared" si="16"/>
        <v>0</v>
      </c>
      <c r="K187" s="99">
        <f t="shared" si="17"/>
        <v>-1746000000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194</v>
      </c>
      <c r="H188" s="99">
        <f t="shared" si="15"/>
        <v>0</v>
      </c>
      <c r="I188" s="99">
        <f t="shared" si="13"/>
        <v>-2250400</v>
      </c>
      <c r="J188" s="99">
        <f t="shared" si="16"/>
        <v>0</v>
      </c>
      <c r="K188" s="99">
        <f t="shared" si="17"/>
        <v>-2250400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194</v>
      </c>
      <c r="H189" s="99">
        <f t="shared" si="15"/>
        <v>0</v>
      </c>
      <c r="I189" s="99">
        <f t="shared" si="13"/>
        <v>-641039438</v>
      </c>
      <c r="J189" s="99">
        <f t="shared" si="16"/>
        <v>0</v>
      </c>
      <c r="K189" s="99">
        <f t="shared" si="17"/>
        <v>-641039438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193</v>
      </c>
      <c r="H190" s="99">
        <f t="shared" si="15"/>
        <v>0</v>
      </c>
      <c r="I190" s="99">
        <f t="shared" si="13"/>
        <v>-579173700</v>
      </c>
      <c r="J190" s="99">
        <f t="shared" si="16"/>
        <v>0</v>
      </c>
      <c r="K190" s="99">
        <f t="shared" si="17"/>
        <v>-579173700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192</v>
      </c>
      <c r="H191" s="99">
        <f t="shared" si="15"/>
        <v>0</v>
      </c>
      <c r="I191" s="99">
        <f t="shared" si="13"/>
        <v>-530092800</v>
      </c>
      <c r="J191" s="99">
        <f t="shared" si="16"/>
        <v>0</v>
      </c>
      <c r="K191" s="99">
        <f t="shared" si="17"/>
        <v>-530092800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187</v>
      </c>
      <c r="H192" s="99">
        <f t="shared" si="15"/>
        <v>1</v>
      </c>
      <c r="I192" s="99">
        <f t="shared" si="13"/>
        <v>186000000</v>
      </c>
      <c r="J192" s="99">
        <f t="shared" si="16"/>
        <v>0</v>
      </c>
      <c r="K192" s="99">
        <f t="shared" si="17"/>
        <v>186000000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186</v>
      </c>
      <c r="H193" s="99">
        <f t="shared" si="15"/>
        <v>0</v>
      </c>
      <c r="I193" s="99">
        <f t="shared" si="13"/>
        <v>-2790000</v>
      </c>
      <c r="J193" s="99">
        <f t="shared" si="16"/>
        <v>0</v>
      </c>
      <c r="K193" s="99">
        <f t="shared" si="17"/>
        <v>-2790000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184</v>
      </c>
      <c r="H194" s="99">
        <f t="shared" si="15"/>
        <v>0</v>
      </c>
      <c r="I194" s="99">
        <f t="shared" si="13"/>
        <v>-182160000</v>
      </c>
      <c r="J194" s="99">
        <f t="shared" si="16"/>
        <v>0</v>
      </c>
      <c r="K194" s="99">
        <f t="shared" si="17"/>
        <v>-182160000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184</v>
      </c>
      <c r="H195" s="99">
        <f t="shared" si="15"/>
        <v>1</v>
      </c>
      <c r="I195" s="99">
        <f t="shared" si="13"/>
        <v>143289000</v>
      </c>
      <c r="J195" s="99">
        <f t="shared" si="16"/>
        <v>0</v>
      </c>
      <c r="K195" s="99">
        <f t="shared" si="17"/>
        <v>143289000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182</v>
      </c>
      <c r="H196" s="99">
        <f t="shared" si="15"/>
        <v>0</v>
      </c>
      <c r="I196" s="99">
        <f t="shared" si="13"/>
        <v>-136591000</v>
      </c>
      <c r="J196" s="99">
        <f t="shared" si="16"/>
        <v>0</v>
      </c>
      <c r="K196" s="99">
        <f t="shared" si="17"/>
        <v>-136591000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180</v>
      </c>
      <c r="H197" s="99">
        <f t="shared" si="15"/>
        <v>1</v>
      </c>
      <c r="I197" s="99">
        <f t="shared" si="13"/>
        <v>125300000</v>
      </c>
      <c r="J197" s="99">
        <f t="shared" si="16"/>
        <v>0</v>
      </c>
      <c r="K197" s="99">
        <f t="shared" si="17"/>
        <v>125300000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180</v>
      </c>
      <c r="H198" s="99">
        <f t="shared" si="15"/>
        <v>0</v>
      </c>
      <c r="I198" s="99">
        <f t="shared" si="13"/>
        <v>-17820000</v>
      </c>
      <c r="J198" s="99">
        <f t="shared" si="16"/>
        <v>0</v>
      </c>
      <c r="K198" s="99">
        <f t="shared" si="17"/>
        <v>-17820000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179</v>
      </c>
      <c r="H199" s="99">
        <f t="shared" si="15"/>
        <v>0</v>
      </c>
      <c r="I199" s="99">
        <f t="shared" si="13"/>
        <v>-36829250</v>
      </c>
      <c r="J199" s="99">
        <f t="shared" si="16"/>
        <v>0</v>
      </c>
      <c r="K199" s="99">
        <f t="shared" si="17"/>
        <v>-36829250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179</v>
      </c>
      <c r="H200" s="99">
        <f t="shared" si="15"/>
        <v>0</v>
      </c>
      <c r="I200" s="99">
        <f t="shared" si="13"/>
        <v>-17005000</v>
      </c>
      <c r="J200" s="99">
        <f t="shared" si="16"/>
        <v>0</v>
      </c>
      <c r="K200" s="99">
        <f t="shared" si="17"/>
        <v>-17005000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176</v>
      </c>
      <c r="H201" s="99">
        <f t="shared" si="15"/>
        <v>1</v>
      </c>
      <c r="I201" s="99">
        <f t="shared" si="13"/>
        <v>8513750000</v>
      </c>
      <c r="J201" s="99">
        <f t="shared" si="16"/>
        <v>0</v>
      </c>
      <c r="K201" s="99">
        <f t="shared" si="17"/>
        <v>8513750000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176</v>
      </c>
      <c r="H202" s="99">
        <f t="shared" si="15"/>
        <v>0</v>
      </c>
      <c r="I202" s="99">
        <f t="shared" si="13"/>
        <v>-528158400</v>
      </c>
      <c r="J202" s="99">
        <f t="shared" si="16"/>
        <v>0</v>
      </c>
      <c r="K202" s="99">
        <f t="shared" si="17"/>
        <v>-528158400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176</v>
      </c>
      <c r="H203" s="99">
        <f t="shared" si="15"/>
        <v>0</v>
      </c>
      <c r="I203" s="99">
        <f t="shared" si="13"/>
        <v>-880000</v>
      </c>
      <c r="J203" s="99">
        <f t="shared" si="16"/>
        <v>0</v>
      </c>
      <c r="K203" s="99">
        <f t="shared" si="17"/>
        <v>-880000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176</v>
      </c>
      <c r="H204" s="99">
        <f t="shared" si="15"/>
        <v>0</v>
      </c>
      <c r="I204" s="99">
        <f t="shared" si="13"/>
        <v>-5896000000</v>
      </c>
      <c r="J204" s="99">
        <f t="shared" si="16"/>
        <v>0</v>
      </c>
      <c r="K204" s="99">
        <f t="shared" si="17"/>
        <v>-5896000000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175</v>
      </c>
      <c r="H205" s="99">
        <f t="shared" si="15"/>
        <v>0</v>
      </c>
      <c r="I205" s="99">
        <f t="shared" si="13"/>
        <v>-2176125000</v>
      </c>
      <c r="J205" s="99">
        <f t="shared" si="16"/>
        <v>0</v>
      </c>
      <c r="K205" s="99">
        <f t="shared" si="17"/>
        <v>-2176125000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172</v>
      </c>
      <c r="H206" s="99">
        <f t="shared" si="15"/>
        <v>0</v>
      </c>
      <c r="I206" s="99">
        <f t="shared" si="13"/>
        <v>-3182000</v>
      </c>
      <c r="J206" s="99">
        <f t="shared" si="16"/>
        <v>0</v>
      </c>
      <c r="K206" s="99">
        <f t="shared" si="17"/>
        <v>-3182000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170</v>
      </c>
      <c r="H207" s="99">
        <f t="shared" si="15"/>
        <v>1</v>
      </c>
      <c r="I207" s="99">
        <f t="shared" si="13"/>
        <v>2447120</v>
      </c>
      <c r="J207" s="99">
        <f t="shared" ref="J207:J281" si="20">C207*(G207-H207)</f>
        <v>11977706</v>
      </c>
      <c r="K207" s="99">
        <f t="shared" si="17"/>
        <v>-9530586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169</v>
      </c>
      <c r="H208" s="99">
        <f t="shared" si="15"/>
        <v>1</v>
      </c>
      <c r="I208" s="99">
        <f t="shared" si="13"/>
        <v>139440000</v>
      </c>
      <c r="J208" s="99">
        <f t="shared" si="20"/>
        <v>0</v>
      </c>
      <c r="K208" s="99">
        <f t="shared" si="17"/>
        <v>139440000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167</v>
      </c>
      <c r="H209" s="99">
        <f t="shared" si="15"/>
        <v>0</v>
      </c>
      <c r="I209" s="99">
        <f t="shared" si="13"/>
        <v>-8757480</v>
      </c>
      <c r="J209" s="99">
        <f t="shared" si="20"/>
        <v>0</v>
      </c>
      <c r="K209" s="99">
        <f t="shared" si="17"/>
        <v>-8757480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166</v>
      </c>
      <c r="H210" s="99">
        <f t="shared" si="15"/>
        <v>0</v>
      </c>
      <c r="I210" s="99">
        <f t="shared" si="13"/>
        <v>-8482600</v>
      </c>
      <c r="J210" s="99">
        <f t="shared" si="20"/>
        <v>0</v>
      </c>
      <c r="K210" s="99">
        <f t="shared" si="17"/>
        <v>-8482600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165</v>
      </c>
      <c r="H211" s="99">
        <f t="shared" si="15"/>
        <v>0</v>
      </c>
      <c r="I211" s="99">
        <f t="shared" si="13"/>
        <v>-33000000</v>
      </c>
      <c r="J211" s="99">
        <f t="shared" si="20"/>
        <v>0</v>
      </c>
      <c r="K211" s="99">
        <f t="shared" si="17"/>
        <v>-33000000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164</v>
      </c>
      <c r="H212" s="99">
        <f t="shared" si="15"/>
        <v>0</v>
      </c>
      <c r="I212" s="99">
        <f t="shared" si="13"/>
        <v>-4592000</v>
      </c>
      <c r="J212" s="99">
        <f t="shared" si="20"/>
        <v>0</v>
      </c>
      <c r="K212" s="99">
        <f t="shared" si="17"/>
        <v>-4592000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163</v>
      </c>
      <c r="H213" s="99">
        <f t="shared" si="15"/>
        <v>0</v>
      </c>
      <c r="I213" s="99">
        <f t="shared" si="13"/>
        <v>-9633300</v>
      </c>
      <c r="J213" s="99">
        <f t="shared" si="20"/>
        <v>0</v>
      </c>
      <c r="K213" s="99">
        <f t="shared" si="17"/>
        <v>-9633300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162</v>
      </c>
      <c r="H214" s="99">
        <f t="shared" si="15"/>
        <v>0</v>
      </c>
      <c r="I214" s="99">
        <f t="shared" si="13"/>
        <v>-4860000</v>
      </c>
      <c r="J214" s="99">
        <f t="shared" si="20"/>
        <v>0</v>
      </c>
      <c r="K214" s="99">
        <f t="shared" si="17"/>
        <v>-4860000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162</v>
      </c>
      <c r="H215" s="99">
        <f t="shared" si="15"/>
        <v>0</v>
      </c>
      <c r="I215" s="99">
        <f t="shared" si="13"/>
        <v>-28836000</v>
      </c>
      <c r="J215" s="99">
        <f t="shared" si="20"/>
        <v>0</v>
      </c>
      <c r="K215" s="99">
        <f t="shared" si="17"/>
        <v>-28836000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161</v>
      </c>
      <c r="H216" s="99">
        <f t="shared" si="15"/>
        <v>0</v>
      </c>
      <c r="I216" s="99">
        <f t="shared" si="13"/>
        <v>-15393210</v>
      </c>
      <c r="J216" s="99">
        <f t="shared" si="20"/>
        <v>0</v>
      </c>
      <c r="K216" s="99">
        <f t="shared" si="17"/>
        <v>-15393210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158</v>
      </c>
      <c r="H217" s="99">
        <f t="shared" si="15"/>
        <v>0</v>
      </c>
      <c r="I217" s="99">
        <f t="shared" si="13"/>
        <v>-13272000</v>
      </c>
      <c r="J217" s="99">
        <f t="shared" si="20"/>
        <v>0</v>
      </c>
      <c r="K217" s="99">
        <f t="shared" si="17"/>
        <v>-13272000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156</v>
      </c>
      <c r="H218" s="99">
        <f t="shared" si="15"/>
        <v>0</v>
      </c>
      <c r="I218" s="99">
        <f t="shared" si="13"/>
        <v>-5148000</v>
      </c>
      <c r="J218" s="99">
        <f t="shared" si="20"/>
        <v>0</v>
      </c>
      <c r="K218" s="99">
        <f t="shared" si="17"/>
        <v>-5148000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153</v>
      </c>
      <c r="H219" s="99">
        <f t="shared" si="15"/>
        <v>1</v>
      </c>
      <c r="I219" s="99">
        <f t="shared" si="13"/>
        <v>235296000</v>
      </c>
      <c r="J219" s="99">
        <f t="shared" si="20"/>
        <v>0</v>
      </c>
      <c r="K219" s="99">
        <f t="shared" si="17"/>
        <v>235296000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152</v>
      </c>
      <c r="H220" s="99">
        <f t="shared" si="15"/>
        <v>0</v>
      </c>
      <c r="I220" s="99">
        <f t="shared" si="13"/>
        <v>-212906400</v>
      </c>
      <c r="J220" s="99">
        <f t="shared" si="20"/>
        <v>0</v>
      </c>
      <c r="K220" s="99">
        <f t="shared" si="17"/>
        <v>-212906400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152</v>
      </c>
      <c r="H221" s="99">
        <f t="shared" si="15"/>
        <v>0</v>
      </c>
      <c r="I221" s="99">
        <f t="shared" si="13"/>
        <v>-1520000</v>
      </c>
      <c r="J221" s="99">
        <f t="shared" si="20"/>
        <v>0</v>
      </c>
      <c r="K221" s="99">
        <f t="shared" si="17"/>
        <v>-1520000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152</v>
      </c>
      <c r="H222" s="99">
        <f t="shared" si="15"/>
        <v>0</v>
      </c>
      <c r="I222" s="99">
        <f t="shared" si="13"/>
        <v>-760000</v>
      </c>
      <c r="J222" s="99">
        <f t="shared" si="20"/>
        <v>-380000</v>
      </c>
      <c r="K222" s="99">
        <f t="shared" si="17"/>
        <v>-380000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146</v>
      </c>
      <c r="H223" s="99">
        <f t="shared" si="15"/>
        <v>0</v>
      </c>
      <c r="I223" s="99">
        <f t="shared" si="13"/>
        <v>-27740000</v>
      </c>
      <c r="J223" s="99">
        <f t="shared" si="20"/>
        <v>0</v>
      </c>
      <c r="K223" s="99">
        <f t="shared" si="17"/>
        <v>-27740000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139</v>
      </c>
      <c r="H224" s="99">
        <f t="shared" si="15"/>
        <v>1</v>
      </c>
      <c r="I224" s="99">
        <f t="shared" si="13"/>
        <v>263718</v>
      </c>
      <c r="J224" s="99">
        <f t="shared" si="20"/>
        <v>8966136</v>
      </c>
      <c r="K224" s="99">
        <f t="shared" si="17"/>
        <v>-8702418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133</v>
      </c>
      <c r="H225" s="99">
        <f t="shared" si="15"/>
        <v>1</v>
      </c>
      <c r="I225" s="99">
        <f t="shared" si="13"/>
        <v>660000000</v>
      </c>
      <c r="J225" s="99">
        <f t="shared" si="20"/>
        <v>0</v>
      </c>
      <c r="K225" s="99">
        <f t="shared" si="17"/>
        <v>660000000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132</v>
      </c>
      <c r="H226" s="99">
        <f t="shared" si="15"/>
        <v>0</v>
      </c>
      <c r="I226" s="99">
        <f t="shared" si="13"/>
        <v>-422400000</v>
      </c>
      <c r="J226" s="99">
        <f t="shared" si="20"/>
        <v>0</v>
      </c>
      <c r="K226" s="99">
        <f t="shared" si="17"/>
        <v>-422400000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132</v>
      </c>
      <c r="H227" s="99">
        <f t="shared" si="15"/>
        <v>1</v>
      </c>
      <c r="I227" s="99">
        <f t="shared" si="13"/>
        <v>314400000</v>
      </c>
      <c r="J227" s="99">
        <f t="shared" si="20"/>
        <v>0</v>
      </c>
      <c r="K227" s="99">
        <f t="shared" si="17"/>
        <v>314400000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130</v>
      </c>
      <c r="H228" s="99">
        <f t="shared" si="15"/>
        <v>0</v>
      </c>
      <c r="I228" s="99">
        <f t="shared" si="13"/>
        <v>-6500000</v>
      </c>
      <c r="J228" s="99">
        <f t="shared" si="20"/>
        <v>0</v>
      </c>
      <c r="K228" s="99">
        <f t="shared" si="17"/>
        <v>-6500000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129</v>
      </c>
      <c r="H229" s="99">
        <f t="shared" si="15"/>
        <v>0</v>
      </c>
      <c r="I229" s="99">
        <f t="shared" si="13"/>
        <v>-528990300</v>
      </c>
      <c r="J229" s="99">
        <f t="shared" si="20"/>
        <v>0</v>
      </c>
      <c r="K229" s="99">
        <f t="shared" si="17"/>
        <v>-528990300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125</v>
      </c>
      <c r="H230" s="99">
        <f t="shared" si="15"/>
        <v>1</v>
      </c>
      <c r="I230" s="99">
        <f t="shared" si="13"/>
        <v>1202800000</v>
      </c>
      <c r="J230" s="99">
        <f t="shared" si="20"/>
        <v>0</v>
      </c>
      <c r="K230" s="99">
        <f t="shared" si="17"/>
        <v>1202800000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125</v>
      </c>
      <c r="H231" s="99">
        <f t="shared" si="15"/>
        <v>0</v>
      </c>
      <c r="I231" s="99">
        <f t="shared" si="13"/>
        <v>-375112500</v>
      </c>
      <c r="J231" s="99">
        <f t="shared" si="20"/>
        <v>0</v>
      </c>
      <c r="K231" s="99">
        <f t="shared" si="17"/>
        <v>-375112500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124</v>
      </c>
      <c r="H232" s="99">
        <f t="shared" si="15"/>
        <v>0</v>
      </c>
      <c r="I232" s="99">
        <f t="shared" si="13"/>
        <v>-372111600</v>
      </c>
      <c r="J232" s="99">
        <f t="shared" si="20"/>
        <v>0</v>
      </c>
      <c r="K232" s="99">
        <f t="shared" si="17"/>
        <v>-372111600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124</v>
      </c>
      <c r="H233" s="99">
        <f t="shared" si="15"/>
        <v>0</v>
      </c>
      <c r="I233" s="99">
        <f t="shared" si="13"/>
        <v>-68820000</v>
      </c>
      <c r="J233" s="99">
        <f t="shared" si="20"/>
        <v>0</v>
      </c>
      <c r="K233" s="99">
        <f t="shared" si="17"/>
        <v>-68820000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123</v>
      </c>
      <c r="H234" s="99">
        <f t="shared" si="15"/>
        <v>0</v>
      </c>
      <c r="I234" s="99">
        <f t="shared" si="13"/>
        <v>-17018280</v>
      </c>
      <c r="J234" s="99">
        <f t="shared" si="20"/>
        <v>0</v>
      </c>
      <c r="K234" s="99">
        <f t="shared" si="17"/>
        <v>-17018280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122</v>
      </c>
      <c r="H235" s="99">
        <f t="shared" si="15"/>
        <v>0</v>
      </c>
      <c r="I235" s="99">
        <f t="shared" si="13"/>
        <v>-366109800</v>
      </c>
      <c r="J235" s="99">
        <f t="shared" si="20"/>
        <v>0</v>
      </c>
      <c r="K235" s="99">
        <f t="shared" si="17"/>
        <v>-366109800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120</v>
      </c>
      <c r="H236" s="99">
        <f t="shared" si="15"/>
        <v>0</v>
      </c>
      <c r="I236" s="99">
        <f t="shared" si="13"/>
        <v>-6600000</v>
      </c>
      <c r="J236" s="99">
        <f t="shared" si="20"/>
        <v>0</v>
      </c>
      <c r="K236" s="99">
        <f t="shared" si="17"/>
        <v>-6600000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116</v>
      </c>
      <c r="H237" s="99">
        <f t="shared" si="15"/>
        <v>1</v>
      </c>
      <c r="I237" s="99">
        <f t="shared" si="13"/>
        <v>694025000</v>
      </c>
      <c r="J237" s="99">
        <f t="shared" si="20"/>
        <v>0</v>
      </c>
      <c r="K237" s="99">
        <f t="shared" si="17"/>
        <v>694025000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114</v>
      </c>
      <c r="H238" s="99">
        <f t="shared" si="15"/>
        <v>0</v>
      </c>
      <c r="I238" s="99">
        <f t="shared" si="13"/>
        <v>-855000</v>
      </c>
      <c r="J238" s="99">
        <f t="shared" si="20"/>
        <v>0</v>
      </c>
      <c r="K238" s="99">
        <f t="shared" si="17"/>
        <v>-855000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113</v>
      </c>
      <c r="H239" s="99">
        <f t="shared" si="15"/>
        <v>0</v>
      </c>
      <c r="I239" s="99">
        <f t="shared" si="13"/>
        <v>-463133099</v>
      </c>
      <c r="J239" s="99">
        <f t="shared" si="20"/>
        <v>0</v>
      </c>
      <c r="K239" s="99">
        <f t="shared" si="17"/>
        <v>-463133099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113</v>
      </c>
      <c r="H240" s="99">
        <f t="shared" si="15"/>
        <v>0</v>
      </c>
      <c r="I240" s="99">
        <f t="shared" si="13"/>
        <v>-3754425</v>
      </c>
      <c r="J240" s="99">
        <f t="shared" si="20"/>
        <v>0</v>
      </c>
      <c r="K240" s="99">
        <f t="shared" si="17"/>
        <v>-3754425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113</v>
      </c>
      <c r="H241" s="99">
        <f t="shared" si="15"/>
        <v>0</v>
      </c>
      <c r="I241" s="99">
        <f t="shared" si="13"/>
        <v>-214135000</v>
      </c>
      <c r="J241" s="99">
        <f t="shared" si="20"/>
        <v>0</v>
      </c>
      <c r="K241" s="99">
        <f t="shared" si="17"/>
        <v>-214135000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106</v>
      </c>
      <c r="H242" s="99">
        <f t="shared" si="15"/>
        <v>1</v>
      </c>
      <c r="I242" s="99">
        <f t="shared" si="13"/>
        <v>262500000</v>
      </c>
      <c r="J242" s="99">
        <f t="shared" si="20"/>
        <v>0</v>
      </c>
      <c r="K242" s="99">
        <f t="shared" si="17"/>
        <v>262500000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104</v>
      </c>
      <c r="H243" s="99">
        <f t="shared" si="15"/>
        <v>0</v>
      </c>
      <c r="I243" s="99">
        <f t="shared" si="13"/>
        <v>-260000000</v>
      </c>
      <c r="J243" s="99">
        <f t="shared" si="20"/>
        <v>0</v>
      </c>
      <c r="K243" s="99">
        <f t="shared" si="17"/>
        <v>-260000000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102</v>
      </c>
      <c r="H244" s="99">
        <f t="shared" si="15"/>
        <v>1</v>
      </c>
      <c r="I244" s="99">
        <f t="shared" si="13"/>
        <v>111100000</v>
      </c>
      <c r="J244" s="99">
        <f t="shared" si="20"/>
        <v>0</v>
      </c>
      <c r="K244" s="99">
        <f t="shared" si="17"/>
        <v>111100000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100</v>
      </c>
      <c r="H245" s="99">
        <f t="shared" si="15"/>
        <v>1</v>
      </c>
      <c r="I245" s="99">
        <f t="shared" si="13"/>
        <v>297000000</v>
      </c>
      <c r="J245" s="99">
        <f t="shared" si="20"/>
        <v>0</v>
      </c>
      <c r="K245" s="99">
        <f t="shared" si="17"/>
        <v>297000000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98</v>
      </c>
      <c r="H246" s="99">
        <f t="shared" si="15"/>
        <v>0</v>
      </c>
      <c r="I246" s="99">
        <f t="shared" si="13"/>
        <v>-395988600</v>
      </c>
      <c r="J246" s="99">
        <f t="shared" si="20"/>
        <v>0</v>
      </c>
      <c r="K246" s="99">
        <f t="shared" si="17"/>
        <v>-395988600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98</v>
      </c>
      <c r="H247" s="99">
        <f t="shared" si="15"/>
        <v>1</v>
      </c>
      <c r="I247" s="99">
        <f t="shared" si="13"/>
        <v>47530000</v>
      </c>
      <c r="J247" s="99">
        <f t="shared" si="20"/>
        <v>0</v>
      </c>
      <c r="K247" s="99">
        <f t="shared" si="17"/>
        <v>47530000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97</v>
      </c>
      <c r="H248" s="99">
        <f t="shared" si="15"/>
        <v>1</v>
      </c>
      <c r="I248" s="99">
        <f t="shared" si="13"/>
        <v>134400000</v>
      </c>
      <c r="J248" s="99">
        <f t="shared" si="20"/>
        <v>0</v>
      </c>
      <c r="K248" s="99">
        <f t="shared" si="17"/>
        <v>134400000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97</v>
      </c>
      <c r="H249" s="99">
        <f t="shared" si="15"/>
        <v>0</v>
      </c>
      <c r="I249" s="99">
        <f t="shared" si="13"/>
        <v>-145500000</v>
      </c>
      <c r="J249" s="99">
        <f t="shared" si="20"/>
        <v>0</v>
      </c>
      <c r="K249" s="99">
        <f t="shared" si="17"/>
        <v>-145500000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96</v>
      </c>
      <c r="H250" s="99">
        <f t="shared" si="15"/>
        <v>0</v>
      </c>
      <c r="I250" s="99">
        <f t="shared" si="13"/>
        <v>-9600000</v>
      </c>
      <c r="J250" s="99">
        <f t="shared" si="20"/>
        <v>0</v>
      </c>
      <c r="K250" s="99">
        <f t="shared" si="17"/>
        <v>-9600000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95</v>
      </c>
      <c r="H251" s="99">
        <f t="shared" si="15"/>
        <v>0</v>
      </c>
      <c r="I251" s="99">
        <f t="shared" si="13"/>
        <v>-1320500</v>
      </c>
      <c r="J251" s="99">
        <f t="shared" si="20"/>
        <v>0</v>
      </c>
      <c r="K251" s="99">
        <f t="shared" si="17"/>
        <v>-1320500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95</v>
      </c>
      <c r="H252" s="99">
        <f t="shared" si="15"/>
        <v>1</v>
      </c>
      <c r="I252" s="99">
        <f t="shared" si="13"/>
        <v>28200000</v>
      </c>
      <c r="J252" s="99">
        <f t="shared" si="20"/>
        <v>0</v>
      </c>
      <c r="K252" s="99">
        <f t="shared" si="17"/>
        <v>28200000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93</v>
      </c>
      <c r="H253" s="99">
        <f t="shared" si="15"/>
        <v>1</v>
      </c>
      <c r="I253" s="99">
        <f t="shared" si="13"/>
        <v>1104000000</v>
      </c>
      <c r="J253" s="99">
        <f t="shared" si="20"/>
        <v>0</v>
      </c>
      <c r="K253" s="99">
        <f t="shared" si="17"/>
        <v>1104000000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92</v>
      </c>
      <c r="H254" s="99">
        <f t="shared" si="15"/>
        <v>1</v>
      </c>
      <c r="I254" s="99">
        <f t="shared" si="13"/>
        <v>273000000</v>
      </c>
      <c r="J254" s="99">
        <f t="shared" si="20"/>
        <v>0</v>
      </c>
      <c r="K254" s="99">
        <f t="shared" si="17"/>
        <v>273000000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91</v>
      </c>
      <c r="H255" s="99">
        <f t="shared" si="15"/>
        <v>0</v>
      </c>
      <c r="I255" s="99">
        <f t="shared" si="13"/>
        <v>-1274000000</v>
      </c>
      <c r="J255" s="99">
        <f t="shared" si="20"/>
        <v>0</v>
      </c>
      <c r="K255" s="99">
        <f t="shared" si="17"/>
        <v>-1274000000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90</v>
      </c>
      <c r="H256" s="99">
        <f t="shared" si="15"/>
        <v>0</v>
      </c>
      <c r="I256" s="99">
        <f t="shared" si="13"/>
        <v>-11247210</v>
      </c>
      <c r="J256" s="99">
        <f t="shared" si="20"/>
        <v>0</v>
      </c>
      <c r="K256" s="99">
        <f t="shared" si="17"/>
        <v>-11247210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90</v>
      </c>
      <c r="H257" s="99">
        <f t="shared" si="15"/>
        <v>0</v>
      </c>
      <c r="I257" s="99">
        <f t="shared" si="13"/>
        <v>0</v>
      </c>
      <c r="J257" s="99">
        <f t="shared" si="20"/>
        <v>-717191010</v>
      </c>
      <c r="K257" s="99">
        <f t="shared" si="17"/>
        <v>717191010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89</v>
      </c>
      <c r="H258" s="99">
        <f t="shared" si="15"/>
        <v>0</v>
      </c>
      <c r="I258" s="99">
        <f t="shared" si="13"/>
        <v>-116857000</v>
      </c>
      <c r="J258" s="99">
        <f t="shared" si="20"/>
        <v>0</v>
      </c>
      <c r="K258" s="99">
        <f t="shared" si="17"/>
        <v>-116857000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86</v>
      </c>
      <c r="H259" s="99">
        <f t="shared" si="15"/>
        <v>1</v>
      </c>
      <c r="I259" s="99">
        <f t="shared" si="13"/>
        <v>170000000</v>
      </c>
      <c r="J259" s="99">
        <f t="shared" si="20"/>
        <v>0</v>
      </c>
      <c r="K259" s="99">
        <f t="shared" si="17"/>
        <v>170000000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85</v>
      </c>
      <c r="H260" s="99">
        <f t="shared" si="15"/>
        <v>0</v>
      </c>
      <c r="I260" s="99">
        <f t="shared" si="13"/>
        <v>-161500000</v>
      </c>
      <c r="J260" s="99">
        <f t="shared" si="20"/>
        <v>0</v>
      </c>
      <c r="K260" s="99">
        <f t="shared" si="17"/>
        <v>-161500000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85</v>
      </c>
      <c r="H261" s="99">
        <f t="shared" si="15"/>
        <v>0</v>
      </c>
      <c r="I261" s="99">
        <f t="shared" si="13"/>
        <v>-8542500</v>
      </c>
      <c r="J261" s="99">
        <f t="shared" si="20"/>
        <v>0</v>
      </c>
      <c r="K261" s="99">
        <f t="shared" si="17"/>
        <v>-8542500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85</v>
      </c>
      <c r="H262" s="99">
        <f t="shared" si="15"/>
        <v>0</v>
      </c>
      <c r="I262" s="99">
        <f t="shared" si="13"/>
        <v>-5836950</v>
      </c>
      <c r="J262" s="99">
        <f t="shared" si="20"/>
        <v>0</v>
      </c>
      <c r="K262" s="99">
        <f t="shared" si="17"/>
        <v>-5836950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84</v>
      </c>
      <c r="H263" s="99">
        <f t="shared" si="15"/>
        <v>0</v>
      </c>
      <c r="I263" s="99">
        <f t="shared" si="13"/>
        <v>-9962400</v>
      </c>
      <c r="J263" s="99">
        <f t="shared" si="20"/>
        <v>0</v>
      </c>
      <c r="K263" s="99">
        <f t="shared" si="17"/>
        <v>-9962400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82</v>
      </c>
      <c r="H264" s="99">
        <f t="shared" si="15"/>
        <v>1</v>
      </c>
      <c r="I264" s="99">
        <f t="shared" si="13"/>
        <v>549099000</v>
      </c>
      <c r="J264" s="99">
        <f t="shared" si="20"/>
        <v>0</v>
      </c>
      <c r="K264" s="99">
        <f t="shared" si="17"/>
        <v>549099000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82</v>
      </c>
      <c r="H265" s="99">
        <f t="shared" si="15"/>
        <v>0</v>
      </c>
      <c r="I265" s="99">
        <f t="shared" si="13"/>
        <v>-524800000</v>
      </c>
      <c r="J265" s="99">
        <f t="shared" si="20"/>
        <v>0</v>
      </c>
      <c r="K265" s="99">
        <f t="shared" si="17"/>
        <v>-524800000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82</v>
      </c>
      <c r="H266" s="99">
        <f t="shared" si="15"/>
        <v>0</v>
      </c>
      <c r="I266" s="99">
        <f t="shared" si="13"/>
        <v>-31898000</v>
      </c>
      <c r="J266" s="99">
        <f t="shared" si="20"/>
        <v>0</v>
      </c>
      <c r="K266" s="99">
        <f t="shared" si="17"/>
        <v>-31898000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78</v>
      </c>
      <c r="H267" s="99">
        <f t="shared" si="15"/>
        <v>1</v>
      </c>
      <c r="I267" s="99">
        <f t="shared" si="13"/>
        <v>16940000</v>
      </c>
      <c r="J267" s="99">
        <f t="shared" si="20"/>
        <v>0</v>
      </c>
      <c r="K267" s="99">
        <f t="shared" si="17"/>
        <v>16940000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78</v>
      </c>
      <c r="H268" s="99">
        <f t="shared" si="15"/>
        <v>0</v>
      </c>
      <c r="I268" s="99">
        <f t="shared" si="13"/>
        <v>-8532420</v>
      </c>
      <c r="J268" s="99">
        <f t="shared" si="20"/>
        <v>0</v>
      </c>
      <c r="K268" s="99">
        <f t="shared" si="17"/>
        <v>-8532420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76</v>
      </c>
      <c r="H269" s="99">
        <f t="shared" si="15"/>
        <v>1</v>
      </c>
      <c r="I269" s="99">
        <f t="shared" si="13"/>
        <v>7500000</v>
      </c>
      <c r="J269" s="99">
        <f t="shared" si="20"/>
        <v>0</v>
      </c>
      <c r="K269" s="99">
        <f t="shared" si="17"/>
        <v>7500000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76</v>
      </c>
      <c r="H270" s="99">
        <f t="shared" si="15"/>
        <v>1</v>
      </c>
      <c r="I270" s="99">
        <f t="shared" si="13"/>
        <v>195000000</v>
      </c>
      <c r="J270" s="99">
        <f t="shared" si="20"/>
        <v>0</v>
      </c>
      <c r="K270" s="99">
        <f t="shared" si="17"/>
        <v>195000000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75</v>
      </c>
      <c r="H271" s="99">
        <f t="shared" si="15"/>
        <v>1</v>
      </c>
      <c r="I271" s="99">
        <f t="shared" si="13"/>
        <v>325600000</v>
      </c>
      <c r="J271" s="99">
        <f t="shared" si="20"/>
        <v>0</v>
      </c>
      <c r="K271" s="99">
        <f t="shared" si="17"/>
        <v>325600000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75</v>
      </c>
      <c r="H272" s="99">
        <f t="shared" si="15"/>
        <v>0</v>
      </c>
      <c r="I272" s="99">
        <f t="shared" si="13"/>
        <v>-7125000</v>
      </c>
      <c r="J272" s="99">
        <f t="shared" si="20"/>
        <v>0</v>
      </c>
      <c r="K272" s="99">
        <f t="shared" si="17"/>
        <v>-7125000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74</v>
      </c>
      <c r="H273" s="99">
        <f t="shared" si="15"/>
        <v>0</v>
      </c>
      <c r="I273" s="99">
        <f t="shared" si="13"/>
        <v>-66600000</v>
      </c>
      <c r="J273" s="99">
        <f t="shared" si="20"/>
        <v>0</v>
      </c>
      <c r="K273" s="99">
        <f t="shared" si="17"/>
        <v>-66600000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73</v>
      </c>
      <c r="H274" s="99">
        <f t="shared" si="15"/>
        <v>1</v>
      </c>
      <c r="I274" s="99">
        <f t="shared" si="13"/>
        <v>180000000</v>
      </c>
      <c r="J274" s="99">
        <f t="shared" si="20"/>
        <v>0</v>
      </c>
      <c r="K274" s="99">
        <f t="shared" si="17"/>
        <v>180000000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73</v>
      </c>
      <c r="H275" s="99">
        <f t="shared" si="15"/>
        <v>0</v>
      </c>
      <c r="I275" s="99">
        <f t="shared" si="13"/>
        <v>-93951000</v>
      </c>
      <c r="J275" s="99">
        <f t="shared" si="20"/>
        <v>0</v>
      </c>
      <c r="K275" s="99">
        <f t="shared" si="17"/>
        <v>-93951000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71</v>
      </c>
      <c r="H276" s="99">
        <f t="shared" si="15"/>
        <v>1</v>
      </c>
      <c r="I276" s="99">
        <f t="shared" si="13"/>
        <v>266000000</v>
      </c>
      <c r="J276" s="99">
        <f t="shared" si="20"/>
        <v>0</v>
      </c>
      <c r="K276" s="99">
        <f t="shared" si="17"/>
        <v>266000000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70</v>
      </c>
      <c r="H277" s="99">
        <f t="shared" si="15"/>
        <v>1</v>
      </c>
      <c r="I277" s="99">
        <f t="shared" si="13"/>
        <v>1449000000</v>
      </c>
      <c r="J277" s="99">
        <f t="shared" si="20"/>
        <v>0</v>
      </c>
      <c r="K277" s="99">
        <f t="shared" si="17"/>
        <v>1449000000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69</v>
      </c>
      <c r="H278" s="99">
        <f t="shared" si="15"/>
        <v>1</v>
      </c>
      <c r="I278" s="99">
        <f t="shared" si="13"/>
        <v>204000000</v>
      </c>
      <c r="J278" s="99">
        <f t="shared" si="20"/>
        <v>0</v>
      </c>
      <c r="K278" s="99">
        <f t="shared" si="17"/>
        <v>204000000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69</v>
      </c>
      <c r="H279" s="99">
        <f t="shared" si="15"/>
        <v>1</v>
      </c>
      <c r="I279" s="99">
        <f t="shared" si="13"/>
        <v>136000000</v>
      </c>
      <c r="J279" s="99">
        <f t="shared" si="20"/>
        <v>0</v>
      </c>
      <c r="K279" s="99">
        <f t="shared" si="17"/>
        <v>136000000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68</v>
      </c>
      <c r="H280" s="99">
        <f t="shared" si="15"/>
        <v>0</v>
      </c>
      <c r="I280" s="99">
        <f t="shared" si="13"/>
        <v>-136000000</v>
      </c>
      <c r="J280" s="99">
        <f t="shared" si="20"/>
        <v>0</v>
      </c>
      <c r="K280" s="99">
        <f t="shared" si="17"/>
        <v>-136000000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67</v>
      </c>
      <c r="H281" s="99">
        <f t="shared" si="15"/>
        <v>0</v>
      </c>
      <c r="I281" s="99">
        <f t="shared" si="13"/>
        <v>-670000000</v>
      </c>
      <c r="J281" s="99">
        <f t="shared" si="20"/>
        <v>0</v>
      </c>
      <c r="K281" s="99">
        <f t="shared" si="17"/>
        <v>-670000000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63</v>
      </c>
      <c r="H282" s="99">
        <f t="shared" si="15"/>
        <v>0</v>
      </c>
      <c r="I282" s="99">
        <f t="shared" si="13"/>
        <v>-1052100000</v>
      </c>
      <c r="J282" s="99">
        <f t="shared" ref="J282:J296" si="22">C282*(G282-H282)</f>
        <v>0</v>
      </c>
      <c r="K282" s="99">
        <f t="shared" ref="K282:K296" si="23">D282*(G282-H282)</f>
        <v>-1052100000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61</v>
      </c>
      <c r="H283" s="99">
        <f t="shared" si="15"/>
        <v>1</v>
      </c>
      <c r="I283" s="99">
        <f t="shared" si="13"/>
        <v>720000000</v>
      </c>
      <c r="J283" s="99">
        <f t="shared" si="22"/>
        <v>0</v>
      </c>
      <c r="K283" s="99">
        <f t="shared" si="23"/>
        <v>720000000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60</v>
      </c>
      <c r="H284" s="99">
        <f t="shared" si="15"/>
        <v>1</v>
      </c>
      <c r="I284" s="99">
        <f t="shared" si="13"/>
        <v>112100000</v>
      </c>
      <c r="J284" s="99">
        <f t="shared" si="22"/>
        <v>0</v>
      </c>
      <c r="K284" s="99">
        <f t="shared" si="23"/>
        <v>112100000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60</v>
      </c>
      <c r="H285" s="99">
        <f t="shared" si="15"/>
        <v>0</v>
      </c>
      <c r="I285" s="99">
        <f t="shared" si="13"/>
        <v>-239700000</v>
      </c>
      <c r="J285" s="99">
        <f t="shared" si="22"/>
        <v>0</v>
      </c>
      <c r="K285" s="99">
        <f t="shared" si="23"/>
        <v>-239700000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57</v>
      </c>
      <c r="H286" s="99">
        <f t="shared" si="15"/>
        <v>0</v>
      </c>
      <c r="I286" s="99">
        <f t="shared" si="13"/>
        <v>-114609900</v>
      </c>
      <c r="J286" s="99">
        <f t="shared" si="22"/>
        <v>0</v>
      </c>
      <c r="K286" s="99">
        <f t="shared" si="23"/>
        <v>-114609900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57</v>
      </c>
      <c r="H287" s="99">
        <f t="shared" si="15"/>
        <v>0</v>
      </c>
      <c r="I287" s="99">
        <f t="shared" si="13"/>
        <v>-228000000</v>
      </c>
      <c r="J287" s="99">
        <f t="shared" si="22"/>
        <v>0</v>
      </c>
      <c r="K287" s="99">
        <f t="shared" si="23"/>
        <v>-228000000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56</v>
      </c>
      <c r="H288" s="99">
        <f t="shared" si="15"/>
        <v>0</v>
      </c>
      <c r="I288" s="99">
        <f t="shared" si="13"/>
        <v>-319200000</v>
      </c>
      <c r="J288" s="99">
        <f t="shared" si="22"/>
        <v>0</v>
      </c>
      <c r="K288" s="99">
        <f t="shared" si="23"/>
        <v>-319200000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54</v>
      </c>
      <c r="H289" s="99">
        <f t="shared" si="15"/>
        <v>1</v>
      </c>
      <c r="I289" s="99">
        <f t="shared" si="13"/>
        <v>424000000</v>
      </c>
      <c r="J289" s="99">
        <f t="shared" si="22"/>
        <v>0</v>
      </c>
      <c r="K289" s="99">
        <f t="shared" si="23"/>
        <v>424000000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53</v>
      </c>
      <c r="H290" s="99">
        <f t="shared" si="15"/>
        <v>0</v>
      </c>
      <c r="I290" s="99">
        <f t="shared" si="13"/>
        <v>-424000000</v>
      </c>
      <c r="J290" s="99">
        <f t="shared" si="22"/>
        <v>0</v>
      </c>
      <c r="K290" s="99">
        <f t="shared" si="23"/>
        <v>-424000000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50</v>
      </c>
      <c r="H291" s="99">
        <f t="shared" si="15"/>
        <v>0</v>
      </c>
      <c r="I291" s="99">
        <f t="shared" si="13"/>
        <v>-300000000</v>
      </c>
      <c r="J291" s="99">
        <f t="shared" si="22"/>
        <v>0</v>
      </c>
      <c r="K291" s="99">
        <f t="shared" si="23"/>
        <v>-300000000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50</v>
      </c>
      <c r="H292" s="99">
        <f t="shared" si="15"/>
        <v>0</v>
      </c>
      <c r="I292" s="99">
        <f t="shared" si="13"/>
        <v>-3865750</v>
      </c>
      <c r="J292" s="99">
        <f t="shared" si="22"/>
        <v>0</v>
      </c>
      <c r="K292" s="99">
        <f t="shared" si="23"/>
        <v>-3865750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49</v>
      </c>
      <c r="H293" s="99">
        <f t="shared" si="15"/>
        <v>0</v>
      </c>
      <c r="I293" s="99">
        <f t="shared" si="13"/>
        <v>-4745650</v>
      </c>
      <c r="J293" s="99">
        <f t="shared" si="22"/>
        <v>0</v>
      </c>
      <c r="K293" s="99">
        <f t="shared" si="23"/>
        <v>-4745650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47</v>
      </c>
      <c r="H294" s="99">
        <f t="shared" si="15"/>
        <v>0</v>
      </c>
      <c r="I294" s="99">
        <f t="shared" si="13"/>
        <v>-2115000</v>
      </c>
      <c r="J294" s="99">
        <f t="shared" si="22"/>
        <v>0</v>
      </c>
      <c r="K294" s="99">
        <f t="shared" si="23"/>
        <v>-2115000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47</v>
      </c>
      <c r="H295" s="99">
        <f t="shared" si="15"/>
        <v>0</v>
      </c>
      <c r="I295" s="99">
        <f t="shared" si="13"/>
        <v>-2248856</v>
      </c>
      <c r="J295" s="99">
        <f t="shared" si="22"/>
        <v>0</v>
      </c>
      <c r="K295" s="99">
        <f t="shared" si="23"/>
        <v>-2248856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46</v>
      </c>
      <c r="H296" s="99">
        <f t="shared" si="15"/>
        <v>0</v>
      </c>
      <c r="I296" s="99">
        <f t="shared" si="13"/>
        <v>-9200000</v>
      </c>
      <c r="J296" s="99">
        <f t="shared" si="22"/>
        <v>0</v>
      </c>
      <c r="K296" s="99">
        <f t="shared" si="23"/>
        <v>-9200000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43</v>
      </c>
      <c r="H297" s="99">
        <f t="shared" si="15"/>
        <v>0</v>
      </c>
      <c r="I297" s="99">
        <f t="shared" ref="I297:I308" si="24">B297*(G297-H297)</f>
        <v>-2599780</v>
      </c>
      <c r="J297" s="99">
        <f t="shared" ref="J297:J308" si="25">C297*(G297-H297)</f>
        <v>0</v>
      </c>
      <c r="K297" s="99">
        <f t="shared" ref="K297:K308" si="26">D297*(G297-H297)</f>
        <v>-2599780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42</v>
      </c>
      <c r="H298" s="99">
        <f t="shared" si="15"/>
        <v>0</v>
      </c>
      <c r="I298" s="99">
        <f t="shared" si="24"/>
        <v>-2520000</v>
      </c>
      <c r="J298" s="99">
        <f t="shared" si="25"/>
        <v>0</v>
      </c>
      <c r="K298" s="99">
        <f t="shared" si="26"/>
        <v>-2520000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42</v>
      </c>
      <c r="H299" s="99">
        <f t="shared" si="15"/>
        <v>1</v>
      </c>
      <c r="I299" s="99">
        <f t="shared" si="24"/>
        <v>98400000</v>
      </c>
      <c r="J299" s="99">
        <f t="shared" si="25"/>
        <v>0</v>
      </c>
      <c r="K299" s="99">
        <f t="shared" si="26"/>
        <v>98400000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42</v>
      </c>
      <c r="H300" s="99">
        <f t="shared" si="15"/>
        <v>0</v>
      </c>
      <c r="I300" s="99">
        <f t="shared" si="24"/>
        <v>-5760846</v>
      </c>
      <c r="J300" s="99">
        <f t="shared" si="25"/>
        <v>0</v>
      </c>
      <c r="K300" s="99">
        <f t="shared" si="26"/>
        <v>-5760846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42</v>
      </c>
      <c r="H301" s="99">
        <f t="shared" si="15"/>
        <v>0</v>
      </c>
      <c r="I301" s="99">
        <f t="shared" si="24"/>
        <v>-2158800</v>
      </c>
      <c r="J301" s="99">
        <f t="shared" si="25"/>
        <v>0</v>
      </c>
      <c r="K301" s="99">
        <f t="shared" si="26"/>
        <v>-2158800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41</v>
      </c>
      <c r="H302" s="99">
        <f t="shared" si="15"/>
        <v>0</v>
      </c>
      <c r="I302" s="99">
        <f t="shared" si="24"/>
        <v>-92250000</v>
      </c>
      <c r="J302" s="99">
        <f t="shared" si="25"/>
        <v>0</v>
      </c>
      <c r="K302" s="99">
        <f t="shared" si="26"/>
        <v>-92250000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41</v>
      </c>
      <c r="H303" s="99">
        <f t="shared" si="15"/>
        <v>1</v>
      </c>
      <c r="I303" s="99">
        <f t="shared" si="24"/>
        <v>28000000</v>
      </c>
      <c r="J303" s="99">
        <f t="shared" si="25"/>
        <v>0</v>
      </c>
      <c r="K303" s="99">
        <f t="shared" si="26"/>
        <v>28000000</v>
      </c>
    </row>
    <row r="304" spans="1:13">
      <c r="A304" s="99" t="s">
        <v>4718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39</v>
      </c>
      <c r="H304" s="99">
        <f t="shared" si="15"/>
        <v>1</v>
      </c>
      <c r="I304" s="99">
        <f t="shared" si="24"/>
        <v>21660000</v>
      </c>
      <c r="J304" s="99">
        <f t="shared" si="25"/>
        <v>0</v>
      </c>
      <c r="K304" s="99">
        <f t="shared" si="26"/>
        <v>21660000</v>
      </c>
    </row>
    <row r="305" spans="1:13">
      <c r="A305" s="99" t="s">
        <v>4718</v>
      </c>
      <c r="B305" s="18">
        <v>-276773</v>
      </c>
      <c r="C305" s="18">
        <v>0</v>
      </c>
      <c r="D305" s="18">
        <f t="shared" si="18"/>
        <v>-276773</v>
      </c>
      <c r="E305" s="99" t="s">
        <v>4722</v>
      </c>
      <c r="F305" s="99">
        <v>2</v>
      </c>
      <c r="G305" s="36">
        <f t="shared" si="27"/>
        <v>39</v>
      </c>
      <c r="H305" s="99">
        <f t="shared" si="15"/>
        <v>0</v>
      </c>
      <c r="I305" s="99">
        <f t="shared" si="24"/>
        <v>-10794147</v>
      </c>
      <c r="J305" s="99">
        <f t="shared" si="25"/>
        <v>0</v>
      </c>
      <c r="K305" s="99">
        <f t="shared" si="26"/>
        <v>-10794147</v>
      </c>
    </row>
    <row r="306" spans="1:13">
      <c r="A306" s="99" t="s">
        <v>4723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37</v>
      </c>
      <c r="H306" s="99">
        <f t="shared" si="15"/>
        <v>0</v>
      </c>
      <c r="I306" s="99">
        <f t="shared" si="24"/>
        <v>-4244270</v>
      </c>
      <c r="J306" s="99">
        <f t="shared" si="25"/>
        <v>0</v>
      </c>
      <c r="K306" s="99">
        <f t="shared" si="26"/>
        <v>-4244270</v>
      </c>
      <c r="M306" t="s">
        <v>25</v>
      </c>
    </row>
    <row r="307" spans="1:13">
      <c r="A307" s="99" t="s">
        <v>4739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33</v>
      </c>
      <c r="H307" s="99">
        <f t="shared" si="15"/>
        <v>0</v>
      </c>
      <c r="I307" s="99">
        <f t="shared" si="24"/>
        <v>-33000</v>
      </c>
      <c r="J307" s="99">
        <f t="shared" si="25"/>
        <v>0</v>
      </c>
      <c r="K307" s="99">
        <f t="shared" si="26"/>
        <v>-33000</v>
      </c>
    </row>
    <row r="308" spans="1:13">
      <c r="A308" s="99" t="s">
        <v>4745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32</v>
      </c>
      <c r="H308" s="99">
        <f t="shared" si="15"/>
        <v>1</v>
      </c>
      <c r="I308" s="99">
        <f t="shared" si="24"/>
        <v>7750000</v>
      </c>
      <c r="J308" s="99">
        <f t="shared" si="25"/>
        <v>0</v>
      </c>
      <c r="K308" s="99">
        <f t="shared" si="26"/>
        <v>7750000</v>
      </c>
    </row>
    <row r="309" spans="1:13">
      <c r="A309" s="99" t="s">
        <v>4745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40" si="28">G310+F309</f>
        <v>32</v>
      </c>
      <c r="H309" s="99">
        <f t="shared" ref="H309:H340" si="29">IF(B309&gt;0,1,0)</f>
        <v>0</v>
      </c>
      <c r="I309" s="99">
        <f t="shared" ref="I309:I340" si="30">B309*(G309-H309)</f>
        <v>-1763840</v>
      </c>
      <c r="J309" s="99">
        <f t="shared" ref="J309:J340" si="31">C309*(G309-H309)</f>
        <v>0</v>
      </c>
      <c r="K309" s="99">
        <f t="shared" ref="K309:K340" si="32">D309*(G309-H309)</f>
        <v>-1763840</v>
      </c>
    </row>
    <row r="310" spans="1:13">
      <c r="A310" s="99" t="s">
        <v>4757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29</v>
      </c>
      <c r="H310" s="99">
        <f t="shared" si="29"/>
        <v>0</v>
      </c>
      <c r="I310" s="99">
        <f t="shared" si="30"/>
        <v>-3335000</v>
      </c>
      <c r="J310" s="99">
        <f t="shared" si="31"/>
        <v>0</v>
      </c>
      <c r="K310" s="99">
        <f t="shared" si="32"/>
        <v>-3335000</v>
      </c>
    </row>
    <row r="311" spans="1:13">
      <c r="A311" s="99" t="s">
        <v>4747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28</v>
      </c>
      <c r="H311" s="99">
        <f t="shared" si="29"/>
        <v>0</v>
      </c>
      <c r="I311" s="99">
        <f t="shared" si="30"/>
        <v>-6007372</v>
      </c>
      <c r="J311" s="99">
        <f t="shared" si="31"/>
        <v>0</v>
      </c>
      <c r="K311" s="99">
        <f t="shared" si="32"/>
        <v>-6007372</v>
      </c>
      <c r="L311" t="s">
        <v>25</v>
      </c>
    </row>
    <row r="312" spans="1:13">
      <c r="A312" s="99" t="s">
        <v>4749</v>
      </c>
      <c r="B312" s="18">
        <v>-324747</v>
      </c>
      <c r="C312" s="18">
        <v>0</v>
      </c>
      <c r="D312" s="18">
        <f t="shared" si="18"/>
        <v>-324747</v>
      </c>
      <c r="E312" s="99" t="s">
        <v>4758</v>
      </c>
      <c r="F312" s="99">
        <v>3</v>
      </c>
      <c r="G312" s="36">
        <f t="shared" si="28"/>
        <v>26</v>
      </c>
      <c r="H312" s="99">
        <f t="shared" si="29"/>
        <v>0</v>
      </c>
      <c r="I312" s="99">
        <f t="shared" si="30"/>
        <v>-8443422</v>
      </c>
      <c r="J312" s="99">
        <f t="shared" si="31"/>
        <v>0</v>
      </c>
      <c r="K312" s="99">
        <f t="shared" si="32"/>
        <v>-8443422</v>
      </c>
      <c r="M312" t="s">
        <v>25</v>
      </c>
    </row>
    <row r="313" spans="1:13">
      <c r="A313" s="99" t="s">
        <v>4767</v>
      </c>
      <c r="B313" s="18">
        <v>-297992</v>
      </c>
      <c r="C313" s="18">
        <v>0</v>
      </c>
      <c r="D313" s="18">
        <f t="shared" si="18"/>
        <v>-297992</v>
      </c>
      <c r="E313" s="99" t="s">
        <v>4768</v>
      </c>
      <c r="F313" s="99">
        <v>2</v>
      </c>
      <c r="G313" s="36">
        <f t="shared" si="28"/>
        <v>23</v>
      </c>
      <c r="H313" s="99">
        <f t="shared" si="29"/>
        <v>0</v>
      </c>
      <c r="I313" s="99">
        <f t="shared" si="30"/>
        <v>-6853816</v>
      </c>
      <c r="J313" s="99">
        <f t="shared" si="31"/>
        <v>0</v>
      </c>
      <c r="K313" s="99">
        <f t="shared" si="32"/>
        <v>-6853816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21</v>
      </c>
      <c r="H314" s="99">
        <f t="shared" si="29"/>
        <v>0</v>
      </c>
      <c r="I314" s="99">
        <f t="shared" si="30"/>
        <v>-2730000</v>
      </c>
      <c r="J314" s="99">
        <f t="shared" si="31"/>
        <v>0</v>
      </c>
      <c r="K314" s="99">
        <f t="shared" si="32"/>
        <v>-2730000</v>
      </c>
    </row>
    <row r="315" spans="1:13">
      <c r="A315" s="99" t="s">
        <v>4776</v>
      </c>
      <c r="B315" s="18">
        <v>-40000</v>
      </c>
      <c r="C315" s="18">
        <v>0</v>
      </c>
      <c r="D315" s="18">
        <f t="shared" si="18"/>
        <v>-40000</v>
      </c>
      <c r="E315" s="99" t="s">
        <v>4793</v>
      </c>
      <c r="F315" s="99">
        <v>4</v>
      </c>
      <c r="G315" s="36">
        <f t="shared" si="28"/>
        <v>20</v>
      </c>
      <c r="H315" s="99">
        <f t="shared" si="29"/>
        <v>0</v>
      </c>
      <c r="I315" s="99">
        <f t="shared" si="30"/>
        <v>-800000</v>
      </c>
      <c r="J315" s="99">
        <f t="shared" si="31"/>
        <v>0</v>
      </c>
      <c r="K315" s="99">
        <f t="shared" si="32"/>
        <v>-800000</v>
      </c>
    </row>
    <row r="316" spans="1:13">
      <c r="A316" s="99" t="s">
        <v>4799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16</v>
      </c>
      <c r="H316" s="99">
        <f t="shared" si="29"/>
        <v>1</v>
      </c>
      <c r="I316" s="99">
        <f t="shared" si="30"/>
        <v>25045350</v>
      </c>
      <c r="J316" s="99">
        <f t="shared" si="31"/>
        <v>0</v>
      </c>
      <c r="K316" s="99">
        <f t="shared" si="32"/>
        <v>25045350</v>
      </c>
    </row>
    <row r="317" spans="1:13">
      <c r="A317" s="11" t="s">
        <v>4824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12</v>
      </c>
      <c r="H317" s="99">
        <f t="shared" si="29"/>
        <v>0</v>
      </c>
      <c r="I317" s="99">
        <f t="shared" si="30"/>
        <v>-6582516</v>
      </c>
      <c r="J317" s="99">
        <f t="shared" si="31"/>
        <v>0</v>
      </c>
      <c r="K317" s="99">
        <f t="shared" si="32"/>
        <v>-6582516</v>
      </c>
    </row>
    <row r="318" spans="1:13">
      <c r="A318" s="11" t="s">
        <v>4836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11</v>
      </c>
      <c r="H318" s="99">
        <f t="shared" si="29"/>
        <v>1</v>
      </c>
      <c r="I318" s="99">
        <f t="shared" si="30"/>
        <v>24500000</v>
      </c>
      <c r="J318" s="99">
        <f t="shared" si="31"/>
        <v>0</v>
      </c>
      <c r="K318" s="99">
        <f t="shared" si="32"/>
        <v>24500000</v>
      </c>
    </row>
    <row r="319" spans="1:13">
      <c r="A319" s="11" t="s">
        <v>4836</v>
      </c>
      <c r="B319" s="18">
        <v>-1866154</v>
      </c>
      <c r="C319" s="18">
        <v>0</v>
      </c>
      <c r="D319" s="18">
        <f t="shared" si="18"/>
        <v>-1866154</v>
      </c>
      <c r="E319" s="19" t="s">
        <v>4845</v>
      </c>
      <c r="F319" s="99">
        <v>0</v>
      </c>
      <c r="G319" s="36">
        <f t="shared" si="28"/>
        <v>11</v>
      </c>
      <c r="H319" s="99">
        <f t="shared" si="29"/>
        <v>0</v>
      </c>
      <c r="I319" s="99">
        <f t="shared" si="30"/>
        <v>-20527694</v>
      </c>
      <c r="J319" s="99">
        <f t="shared" si="31"/>
        <v>0</v>
      </c>
      <c r="K319" s="99">
        <f t="shared" si="32"/>
        <v>-20527694</v>
      </c>
    </row>
    <row r="320" spans="1:13">
      <c r="A320" s="11" t="s">
        <v>4836</v>
      </c>
      <c r="B320" s="18">
        <v>-36600</v>
      </c>
      <c r="C320" s="18">
        <v>0</v>
      </c>
      <c r="D320" s="18">
        <f t="shared" si="18"/>
        <v>-36600</v>
      </c>
      <c r="E320" s="99" t="s">
        <v>4846</v>
      </c>
      <c r="F320" s="99">
        <v>1</v>
      </c>
      <c r="G320" s="36">
        <f t="shared" ref="G320:G339" si="33">G321+F320</f>
        <v>11</v>
      </c>
      <c r="H320" s="99">
        <f t="shared" ref="H320:H339" si="34">IF(B320&gt;0,1,0)</f>
        <v>0</v>
      </c>
      <c r="I320" s="99">
        <f t="shared" ref="I320:I339" si="35">B320*(G320-H320)</f>
        <v>-402600</v>
      </c>
      <c r="J320" s="99">
        <f t="shared" ref="J320:J339" si="36">C320*(G320-H320)</f>
        <v>0</v>
      </c>
      <c r="K320" s="99">
        <f t="shared" ref="K320:K339" si="37">D320*(G320-H320)</f>
        <v>-402600</v>
      </c>
    </row>
    <row r="321" spans="1:14">
      <c r="A321" s="99" t="s">
        <v>4847</v>
      </c>
      <c r="B321" s="18">
        <v>-492000</v>
      </c>
      <c r="C321" s="18">
        <v>0</v>
      </c>
      <c r="D321" s="18">
        <f t="shared" si="18"/>
        <v>-492000</v>
      </c>
      <c r="E321" s="99" t="s">
        <v>4848</v>
      </c>
      <c r="F321" s="99">
        <v>0</v>
      </c>
      <c r="G321" s="36">
        <f t="shared" si="33"/>
        <v>10</v>
      </c>
      <c r="H321" s="99">
        <f t="shared" si="34"/>
        <v>0</v>
      </c>
      <c r="I321" s="99">
        <f t="shared" si="35"/>
        <v>-4920000</v>
      </c>
      <c r="J321" s="99">
        <f t="shared" si="36"/>
        <v>0</v>
      </c>
      <c r="K321" s="99">
        <f t="shared" si="37"/>
        <v>-4920000</v>
      </c>
      <c r="M321" t="s">
        <v>25</v>
      </c>
    </row>
    <row r="322" spans="1:14">
      <c r="A322" s="99" t="s">
        <v>4847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10</v>
      </c>
      <c r="H322" s="99">
        <f t="shared" si="34"/>
        <v>0</v>
      </c>
      <c r="I322" s="99">
        <f t="shared" si="35"/>
        <v>-5180000</v>
      </c>
      <c r="J322" s="99">
        <f t="shared" si="36"/>
        <v>0</v>
      </c>
      <c r="K322" s="99">
        <f t="shared" si="37"/>
        <v>-5180000</v>
      </c>
    </row>
    <row r="323" spans="1:14">
      <c r="A323" s="99" t="s">
        <v>4847</v>
      </c>
      <c r="B323" s="18">
        <v>-40000</v>
      </c>
      <c r="C323" s="18">
        <v>0</v>
      </c>
      <c r="D323" s="18">
        <f t="shared" si="18"/>
        <v>-40000</v>
      </c>
      <c r="E323" s="99" t="s">
        <v>4850</v>
      </c>
      <c r="F323" s="99">
        <v>1</v>
      </c>
      <c r="G323" s="36">
        <f t="shared" si="33"/>
        <v>10</v>
      </c>
      <c r="H323" s="99">
        <f t="shared" si="34"/>
        <v>0</v>
      </c>
      <c r="I323" s="99">
        <f t="shared" si="35"/>
        <v>-400000</v>
      </c>
      <c r="J323" s="99">
        <f t="shared" si="36"/>
        <v>0</v>
      </c>
      <c r="K323" s="99">
        <f t="shared" si="37"/>
        <v>-400000</v>
      </c>
    </row>
    <row r="324" spans="1:14">
      <c r="A324" s="99" t="s">
        <v>4851</v>
      </c>
      <c r="B324" s="18">
        <v>-66000</v>
      </c>
      <c r="C324" s="18">
        <v>0</v>
      </c>
      <c r="D324" s="18">
        <f t="shared" si="18"/>
        <v>-66000</v>
      </c>
      <c r="E324" s="99" t="s">
        <v>4850</v>
      </c>
      <c r="F324" s="99">
        <v>1</v>
      </c>
      <c r="G324" s="36">
        <f t="shared" si="33"/>
        <v>9</v>
      </c>
      <c r="H324" s="99">
        <f t="shared" si="34"/>
        <v>0</v>
      </c>
      <c r="I324" s="99">
        <f t="shared" si="35"/>
        <v>-594000</v>
      </c>
      <c r="J324" s="99">
        <f t="shared" si="36"/>
        <v>0</v>
      </c>
      <c r="K324" s="99">
        <f t="shared" si="37"/>
        <v>-594000</v>
      </c>
    </row>
    <row r="325" spans="1:14">
      <c r="A325" s="99" t="s">
        <v>4852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8</v>
      </c>
      <c r="H325" s="99">
        <f t="shared" si="34"/>
        <v>0</v>
      </c>
      <c r="I325" s="99">
        <f t="shared" si="35"/>
        <v>-1040000</v>
      </c>
      <c r="J325" s="99">
        <f t="shared" si="36"/>
        <v>0</v>
      </c>
      <c r="K325" s="99">
        <f t="shared" si="37"/>
        <v>-1040000</v>
      </c>
    </row>
    <row r="326" spans="1:14">
      <c r="A326" s="99" t="s">
        <v>4852</v>
      </c>
      <c r="B326" s="18">
        <v>-200500</v>
      </c>
      <c r="C326" s="18">
        <v>0</v>
      </c>
      <c r="D326" s="18">
        <f t="shared" si="18"/>
        <v>-200500</v>
      </c>
      <c r="E326" s="99" t="s">
        <v>4853</v>
      </c>
      <c r="F326" s="99">
        <v>2</v>
      </c>
      <c r="G326" s="36">
        <f t="shared" si="33"/>
        <v>8</v>
      </c>
      <c r="H326" s="99">
        <f t="shared" si="34"/>
        <v>0</v>
      </c>
      <c r="I326" s="99">
        <f t="shared" si="35"/>
        <v>-1604000</v>
      </c>
      <c r="J326" s="99">
        <f t="shared" si="36"/>
        <v>0</v>
      </c>
      <c r="K326" s="99">
        <f t="shared" si="37"/>
        <v>-1604000</v>
      </c>
      <c r="M326" t="s">
        <v>25</v>
      </c>
    </row>
    <row r="327" spans="1:14">
      <c r="A327" s="99" t="s">
        <v>4857</v>
      </c>
      <c r="B327" s="18">
        <v>1563000</v>
      </c>
      <c r="C327" s="18">
        <v>0</v>
      </c>
      <c r="D327" s="18">
        <f t="shared" si="18"/>
        <v>1563000</v>
      </c>
      <c r="E327" s="99" t="s">
        <v>4863</v>
      </c>
      <c r="F327" s="99">
        <v>0</v>
      </c>
      <c r="G327" s="36">
        <f t="shared" si="33"/>
        <v>6</v>
      </c>
      <c r="H327" s="99">
        <f t="shared" si="34"/>
        <v>1</v>
      </c>
      <c r="I327" s="99">
        <f t="shared" si="35"/>
        <v>7815000</v>
      </c>
      <c r="J327" s="99">
        <f t="shared" si="36"/>
        <v>0</v>
      </c>
      <c r="K327" s="99">
        <f t="shared" si="37"/>
        <v>7815000</v>
      </c>
    </row>
    <row r="328" spans="1:14">
      <c r="A328" s="99" t="s">
        <v>4857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6</v>
      </c>
      <c r="H328" s="99">
        <f t="shared" si="34"/>
        <v>0</v>
      </c>
      <c r="I328" s="99">
        <f t="shared" si="35"/>
        <v>-960000</v>
      </c>
      <c r="J328" s="99">
        <f t="shared" si="36"/>
        <v>0</v>
      </c>
      <c r="K328" s="99">
        <f t="shared" si="37"/>
        <v>-960000</v>
      </c>
      <c r="N328" t="s">
        <v>25</v>
      </c>
    </row>
    <row r="329" spans="1:14">
      <c r="A329" s="99" t="s">
        <v>4872</v>
      </c>
      <c r="B329" s="18">
        <v>-20000</v>
      </c>
      <c r="C329" s="18">
        <v>0</v>
      </c>
      <c r="D329" s="18">
        <f t="shared" si="18"/>
        <v>-20000</v>
      </c>
      <c r="E329" s="99" t="s">
        <v>4877</v>
      </c>
      <c r="F329" s="99">
        <v>3</v>
      </c>
      <c r="G329" s="36">
        <f t="shared" si="33"/>
        <v>4</v>
      </c>
      <c r="H329" s="99">
        <f t="shared" si="34"/>
        <v>0</v>
      </c>
      <c r="I329" s="99">
        <f t="shared" si="35"/>
        <v>-80000</v>
      </c>
      <c r="J329" s="99">
        <f t="shared" si="36"/>
        <v>0</v>
      </c>
      <c r="K329" s="99">
        <f t="shared" si="37"/>
        <v>-80000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4890</v>
      </c>
      <c r="F330" s="99">
        <v>0</v>
      </c>
      <c r="G330" s="36">
        <f t="shared" si="33"/>
        <v>1</v>
      </c>
      <c r="H330" s="99">
        <f t="shared" si="34"/>
        <v>0</v>
      </c>
      <c r="I330" s="99">
        <f t="shared" si="35"/>
        <v>-30000</v>
      </c>
      <c r="J330" s="99">
        <f t="shared" si="36"/>
        <v>0</v>
      </c>
      <c r="K330" s="99">
        <f t="shared" si="37"/>
        <v>-30000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4896</v>
      </c>
      <c r="F331" s="99">
        <v>1</v>
      </c>
      <c r="G331" s="36">
        <f t="shared" si="33"/>
        <v>1</v>
      </c>
      <c r="H331" s="99">
        <f t="shared" si="34"/>
        <v>0</v>
      </c>
      <c r="I331" s="99">
        <f t="shared" si="35"/>
        <v>-790500</v>
      </c>
      <c r="J331" s="99">
        <f t="shared" si="36"/>
        <v>0</v>
      </c>
      <c r="K331" s="99">
        <f t="shared" si="37"/>
        <v>-790500</v>
      </c>
    </row>
    <row r="332" spans="1:14">
      <c r="A332" s="99"/>
      <c r="B332" s="18"/>
      <c r="C332" s="18"/>
      <c r="D332" s="18"/>
      <c r="E332" s="99"/>
      <c r="F332" s="99"/>
      <c r="G332" s="36">
        <f t="shared" si="33"/>
        <v>0</v>
      </c>
      <c r="H332" s="99">
        <f t="shared" si="34"/>
        <v>0</v>
      </c>
      <c r="I332" s="99">
        <f t="shared" si="35"/>
        <v>0</v>
      </c>
      <c r="J332" s="99">
        <f t="shared" si="36"/>
        <v>0</v>
      </c>
      <c r="K332" s="99">
        <f t="shared" si="37"/>
        <v>0</v>
      </c>
    </row>
    <row r="333" spans="1:14">
      <c r="A333" s="99"/>
      <c r="B333" s="18"/>
      <c r="C333" s="18"/>
      <c r="D333" s="18"/>
      <c r="E333" s="99"/>
      <c r="F333" s="99"/>
      <c r="G333" s="36">
        <f t="shared" si="33"/>
        <v>0</v>
      </c>
      <c r="H333" s="99">
        <f t="shared" si="34"/>
        <v>0</v>
      </c>
      <c r="I333" s="99">
        <f t="shared" si="35"/>
        <v>0</v>
      </c>
      <c r="J333" s="99">
        <f t="shared" si="36"/>
        <v>0</v>
      </c>
      <c r="K333" s="99">
        <f t="shared" si="37"/>
        <v>0</v>
      </c>
    </row>
    <row r="334" spans="1:14">
      <c r="A334" s="99"/>
      <c r="B334" s="18"/>
      <c r="C334" s="18"/>
      <c r="D334" s="18"/>
      <c r="E334" s="99"/>
      <c r="F334" s="99"/>
      <c r="G334" s="36">
        <f t="shared" si="33"/>
        <v>0</v>
      </c>
      <c r="H334" s="99">
        <f t="shared" si="34"/>
        <v>0</v>
      </c>
      <c r="I334" s="99">
        <f t="shared" si="35"/>
        <v>0</v>
      </c>
      <c r="J334" s="99">
        <f t="shared" si="36"/>
        <v>0</v>
      </c>
      <c r="K334" s="99">
        <f t="shared" si="37"/>
        <v>0</v>
      </c>
    </row>
    <row r="335" spans="1:14">
      <c r="A335" s="99"/>
      <c r="B335" s="18"/>
      <c r="C335" s="18"/>
      <c r="D335" s="18"/>
      <c r="E335" s="99"/>
      <c r="F335" s="99"/>
      <c r="G335" s="36">
        <f t="shared" si="33"/>
        <v>0</v>
      </c>
      <c r="H335" s="99">
        <f t="shared" si="34"/>
        <v>0</v>
      </c>
      <c r="I335" s="99">
        <f t="shared" si="35"/>
        <v>0</v>
      </c>
      <c r="J335" s="99">
        <f t="shared" si="36"/>
        <v>0</v>
      </c>
      <c r="K335" s="99">
        <f t="shared" si="37"/>
        <v>0</v>
      </c>
    </row>
    <row r="336" spans="1:14">
      <c r="A336" s="11"/>
      <c r="B336" s="18"/>
      <c r="C336" s="18"/>
      <c r="D336" s="18"/>
      <c r="E336" s="99"/>
      <c r="F336" s="99"/>
      <c r="G336" s="36">
        <f t="shared" si="33"/>
        <v>0</v>
      </c>
      <c r="H336" s="99">
        <f t="shared" si="34"/>
        <v>0</v>
      </c>
      <c r="I336" s="99">
        <f t="shared" si="35"/>
        <v>0</v>
      </c>
      <c r="J336" s="99">
        <f t="shared" si="36"/>
        <v>0</v>
      </c>
      <c r="K336" s="99">
        <f t="shared" si="37"/>
        <v>0</v>
      </c>
    </row>
    <row r="337" spans="1:11">
      <c r="A337" s="11"/>
      <c r="B337" s="18"/>
      <c r="C337" s="18"/>
      <c r="D337" s="18"/>
      <c r="E337" s="99"/>
      <c r="F337" s="99"/>
      <c r="G337" s="36">
        <f t="shared" si="33"/>
        <v>0</v>
      </c>
      <c r="H337" s="99">
        <f t="shared" si="34"/>
        <v>0</v>
      </c>
      <c r="I337" s="99">
        <f t="shared" si="35"/>
        <v>0</v>
      </c>
      <c r="J337" s="99">
        <f t="shared" si="36"/>
        <v>0</v>
      </c>
      <c r="K337" s="99">
        <f t="shared" si="37"/>
        <v>0</v>
      </c>
    </row>
    <row r="338" spans="1:11">
      <c r="A338" s="99"/>
      <c r="B338" s="18"/>
      <c r="C338" s="18"/>
      <c r="D338" s="18"/>
      <c r="E338" s="99"/>
      <c r="F338" s="99"/>
      <c r="G338" s="36">
        <f t="shared" si="33"/>
        <v>0</v>
      </c>
      <c r="H338" s="99">
        <f t="shared" si="34"/>
        <v>0</v>
      </c>
      <c r="I338" s="99">
        <f t="shared" si="35"/>
        <v>0</v>
      </c>
      <c r="J338" s="99">
        <f t="shared" si="36"/>
        <v>0</v>
      </c>
      <c r="K338" s="99">
        <f t="shared" si="37"/>
        <v>0</v>
      </c>
    </row>
    <row r="339" spans="1:11">
      <c r="A339" s="99"/>
      <c r="B339" s="18"/>
      <c r="C339" s="18"/>
      <c r="D339" s="18"/>
      <c r="E339" s="99"/>
      <c r="F339" s="99"/>
      <c r="G339" s="36">
        <f t="shared" si="33"/>
        <v>0</v>
      </c>
      <c r="H339" s="99">
        <f t="shared" si="34"/>
        <v>0</v>
      </c>
      <c r="I339" s="99">
        <f t="shared" si="35"/>
        <v>0</v>
      </c>
      <c r="J339" s="99">
        <f t="shared" si="36"/>
        <v>0</v>
      </c>
      <c r="K339" s="99">
        <f t="shared" si="37"/>
        <v>0</v>
      </c>
    </row>
    <row r="340" spans="1:11">
      <c r="A340" s="99"/>
      <c r="B340" s="18"/>
      <c r="C340" s="18"/>
      <c r="D340" s="18">
        <f t="shared" si="18"/>
        <v>0</v>
      </c>
      <c r="E340" s="11"/>
      <c r="F340" s="11">
        <v>0</v>
      </c>
      <c r="G340" s="36">
        <f t="shared" si="28"/>
        <v>0</v>
      </c>
      <c r="H340" s="99">
        <f t="shared" si="29"/>
        <v>0</v>
      </c>
      <c r="I340" s="99">
        <f t="shared" si="30"/>
        <v>0</v>
      </c>
      <c r="J340" s="99">
        <f t="shared" si="31"/>
        <v>0</v>
      </c>
      <c r="K340" s="99">
        <f t="shared" si="32"/>
        <v>0</v>
      </c>
    </row>
    <row r="341" spans="1:11">
      <c r="A341" s="99"/>
      <c r="B341" s="29">
        <f>SUM(B2:B340)</f>
        <v>838807</v>
      </c>
      <c r="C341" s="29">
        <f>SUM(C2:C340)</f>
        <v>0</v>
      </c>
      <c r="D341" s="29">
        <f>SUM(D2:D340)</f>
        <v>838807</v>
      </c>
      <c r="E341" s="11"/>
      <c r="F341" s="11"/>
      <c r="G341" s="11"/>
      <c r="H341" s="11"/>
      <c r="I341" s="29">
        <f>SUM(I2:I340)</f>
        <v>19202057722</v>
      </c>
      <c r="J341" s="29">
        <f>SUM(J2:J340)</f>
        <v>8687685429</v>
      </c>
      <c r="K341" s="29">
        <f>SUM(K2:K340)</f>
        <v>10514372293</v>
      </c>
    </row>
    <row r="342" spans="1:11">
      <c r="A342" s="99"/>
      <c r="B342" s="11" t="s">
        <v>283</v>
      </c>
      <c r="C342" s="11" t="s">
        <v>488</v>
      </c>
      <c r="D342" s="11" t="s">
        <v>489</v>
      </c>
      <c r="E342" s="11"/>
      <c r="F342" s="11"/>
      <c r="G342" s="11"/>
      <c r="H342" s="11"/>
      <c r="I342" s="11" t="s">
        <v>485</v>
      </c>
      <c r="J342" s="11" t="s">
        <v>486</v>
      </c>
      <c r="K342" s="11" t="s">
        <v>487</v>
      </c>
    </row>
    <row r="343" spans="1:11">
      <c r="A343" s="99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>
      <c r="A344" s="99"/>
      <c r="B344" s="11"/>
      <c r="C344" s="11"/>
      <c r="D344" s="11"/>
      <c r="E344" s="11"/>
      <c r="F344" s="11"/>
      <c r="G344" s="11"/>
      <c r="H344" s="11"/>
      <c r="I344" s="3">
        <f>I341/G2</f>
        <v>18047046.731203008</v>
      </c>
      <c r="J344" s="29">
        <f>J341/G2</f>
        <v>8165117.8843984958</v>
      </c>
      <c r="K344" s="29">
        <f>K341/G2</f>
        <v>9881928.8468045108</v>
      </c>
    </row>
    <row r="345" spans="1:11">
      <c r="A345" s="99"/>
      <c r="B345" s="11"/>
      <c r="C345" s="11"/>
      <c r="D345" s="11"/>
      <c r="E345" s="11"/>
      <c r="F345" s="11"/>
      <c r="G345" s="11"/>
      <c r="H345" s="11"/>
      <c r="I345" s="11" t="s">
        <v>491</v>
      </c>
      <c r="J345" s="11" t="s">
        <v>492</v>
      </c>
      <c r="K345" s="11" t="s">
        <v>493</v>
      </c>
    </row>
    <row r="348" spans="1:11" ht="30">
      <c r="B348" s="22" t="s">
        <v>854</v>
      </c>
      <c r="D348" s="98">
        <f>D341-D151+D152</f>
        <v>2035446</v>
      </c>
      <c r="G348" t="s">
        <v>25</v>
      </c>
      <c r="J348">
        <f>J341/I341*1448696</f>
        <v>655440.95911298518</v>
      </c>
      <c r="K348">
        <f>K341/I341*1448696</f>
        <v>793255.04088701482</v>
      </c>
    </row>
    <row r="349" spans="1:11">
      <c r="B349" s="7"/>
    </row>
    <row r="350" spans="1:11">
      <c r="B350" s="7"/>
      <c r="I350" t="s">
        <v>25</v>
      </c>
    </row>
    <row r="351" spans="1:11">
      <c r="I35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4786</v>
      </c>
      <c r="B75" s="113">
        <v>-20000</v>
      </c>
      <c r="C75" s="99" t="s">
        <v>4794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4757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4749</v>
      </c>
      <c r="B22" s="18">
        <v>-324747</v>
      </c>
      <c r="C22" s="18">
        <v>0</v>
      </c>
      <c r="D22" s="113">
        <f t="shared" si="0"/>
        <v>-324747</v>
      </c>
      <c r="E22" s="19" t="s">
        <v>4758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4767</v>
      </c>
      <c r="B23" s="18">
        <v>-297992</v>
      </c>
      <c r="C23" s="18">
        <v>0</v>
      </c>
      <c r="D23" s="113">
        <f t="shared" si="0"/>
        <v>-297992</v>
      </c>
      <c r="E23" s="19" t="s">
        <v>4768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4756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2" t="s">
        <v>1089</v>
      </c>
      <c r="R21" s="242"/>
      <c r="S21" s="242"/>
      <c r="T21" s="242"/>
      <c r="U21" s="96"/>
      <c r="V21" s="96"/>
      <c r="W21" s="96"/>
      <c r="X21" s="96"/>
      <c r="Y21" s="96"/>
      <c r="Z21" s="96"/>
    </row>
    <row r="22" spans="5:35">
      <c r="O22" s="99"/>
      <c r="P22" s="99"/>
      <c r="Q22" s="242"/>
      <c r="R22" s="242"/>
      <c r="S22" s="242"/>
      <c r="T22" s="242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3" t="s">
        <v>1090</v>
      </c>
      <c r="R23" s="244" t="s">
        <v>1091</v>
      </c>
      <c r="S23" s="243" t="s">
        <v>1092</v>
      </c>
      <c r="T23" s="245" t="s">
        <v>1093</v>
      </c>
      <c r="AD23" t="s">
        <v>25</v>
      </c>
    </row>
    <row r="24" spans="5:35">
      <c r="O24" s="99"/>
      <c r="P24" s="99"/>
      <c r="Q24" s="243"/>
      <c r="R24" s="244"/>
      <c r="S24" s="243"/>
      <c r="T24" s="245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4847</v>
      </c>
      <c r="B5" t="s">
        <v>4865</v>
      </c>
    </row>
    <row r="6" spans="1:3">
      <c r="A6" t="s">
        <v>4857</v>
      </c>
      <c r="B6" t="s">
        <v>4866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8" sqref="D18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4763</v>
      </c>
      <c r="B2" s="95">
        <v>10300</v>
      </c>
      <c r="C2" s="95">
        <v>0</v>
      </c>
      <c r="D2" s="99" t="s">
        <v>4773</v>
      </c>
      <c r="E2" s="96"/>
      <c r="F2" s="96"/>
      <c r="G2" s="96"/>
    </row>
    <row r="3" spans="1:7">
      <c r="A3" s="99" t="s">
        <v>4763</v>
      </c>
      <c r="B3" s="95">
        <v>0</v>
      </c>
      <c r="C3" s="95">
        <v>5500</v>
      </c>
      <c r="D3" s="99" t="s">
        <v>4774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4802</v>
      </c>
      <c r="B6" s="95">
        <v>0</v>
      </c>
      <c r="C6" s="95">
        <v>3000</v>
      </c>
      <c r="D6" s="99" t="s">
        <v>4806</v>
      </c>
      <c r="E6" s="96"/>
      <c r="F6" s="96"/>
      <c r="G6" s="96"/>
    </row>
    <row r="7" spans="1:7">
      <c r="A7" s="99" t="s">
        <v>4802</v>
      </c>
      <c r="B7" s="95">
        <v>9200</v>
      </c>
      <c r="C7" s="95">
        <v>0</v>
      </c>
      <c r="D7" s="99" t="s">
        <v>4773</v>
      </c>
      <c r="E7" s="96"/>
      <c r="F7" s="96"/>
      <c r="G7" s="96"/>
    </row>
    <row r="8" spans="1:7">
      <c r="A8" s="99" t="s">
        <v>4804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4814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4814</v>
      </c>
      <c r="B10" s="95">
        <v>10200</v>
      </c>
      <c r="C10" s="95">
        <v>0</v>
      </c>
      <c r="D10" s="99" t="s">
        <v>4773</v>
      </c>
      <c r="E10" s="96"/>
      <c r="F10" s="96"/>
      <c r="G10" s="96"/>
    </row>
    <row r="11" spans="1:7">
      <c r="A11" s="99" t="s">
        <v>4836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4856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4857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4893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4872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4773</v>
      </c>
      <c r="E16" s="96"/>
      <c r="F16" s="96"/>
      <c r="G16" s="96"/>
    </row>
    <row r="17" spans="1:7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39900</v>
      </c>
      <c r="C24" s="95">
        <f>SUM(C2:C23)</f>
        <v>19000</v>
      </c>
      <c r="D24" s="99"/>
      <c r="E24" s="96"/>
      <c r="F24" s="96"/>
      <c r="G24" s="96"/>
    </row>
    <row r="26" spans="1:7">
      <c r="A26" s="23" t="s">
        <v>4804</v>
      </c>
      <c r="B26" s="228">
        <v>6700</v>
      </c>
      <c r="C26" s="228">
        <v>0</v>
      </c>
      <c r="D26" s="23" t="s">
        <v>4807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0" sqref="M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4803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8"/>
  <sheetViews>
    <sheetView tabSelected="1" topLeftCell="F86" zoomScaleNormal="100" workbookViewId="0">
      <selection activeCell="P57" sqref="P5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0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4885</v>
      </c>
      <c r="AT10" s="73" t="s">
        <v>4889</v>
      </c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/>
      <c r="AR11" s="169"/>
      <c r="AS11" s="217"/>
      <c r="AT11" s="217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/>
      <c r="AS12" s="217"/>
      <c r="AT12" s="217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217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4364</v>
      </c>
      <c r="V14" s="115"/>
      <c r="W14" s="115"/>
      <c r="X14" s="116"/>
      <c r="Y14" s="115"/>
      <c r="Z14" s="115"/>
      <c r="AQ14" s="217"/>
      <c r="AR14" s="169">
        <f>SUM(AR6:AR12)</f>
        <v>12831907</v>
      </c>
      <c r="AS14" s="217"/>
      <c r="AT14" s="240" t="s">
        <v>4886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217" t="s">
        <v>6</v>
      </c>
      <c r="AS15" s="217"/>
      <c r="AT15" s="217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سارا!D341</f>
        <v>838807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665357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S70</f>
        <v>160</v>
      </c>
      <c r="T20" s="168" t="s">
        <v>4309</v>
      </c>
      <c r="U20" s="168">
        <v>192.1</v>
      </c>
      <c r="V20" s="168">
        <f t="shared" ref="V20:V46" si="6">U20*(1+$N$87+$Q$15*S20/36500)</f>
        <v>217.82982136986303</v>
      </c>
      <c r="W20" s="32">
        <f t="shared" ref="W20:W33" si="7">V20*(1+$W$19/100)</f>
        <v>222.1864177972603</v>
      </c>
      <c r="X20" s="32">
        <f t="shared" ref="X20:X33" si="8">V20*(1+$X$19/100)</f>
        <v>226.54301422465755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341</v>
      </c>
      <c r="AM20" s="113">
        <f>AJ20*AL20</f>
        <v>6138000000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-N34</f>
        <v>390009974.80154747</v>
      </c>
      <c r="M21" s="168" t="s">
        <v>4301</v>
      </c>
      <c r="N21" s="113">
        <f t="shared" ref="N21:N25" si="9">O21*P21</f>
        <v>15694481.6</v>
      </c>
      <c r="O21" s="99">
        <v>82429</v>
      </c>
      <c r="P21" s="186">
        <f>P55</f>
        <v>190.4</v>
      </c>
      <c r="Q21" s="169">
        <v>595156</v>
      </c>
      <c r="R21" s="168" t="s">
        <v>4393</v>
      </c>
      <c r="S21" s="193">
        <f>S20-52</f>
        <v>108</v>
      </c>
      <c r="T21" s="168" t="s">
        <v>4396</v>
      </c>
      <c r="U21" s="168">
        <v>5808.5</v>
      </c>
      <c r="V21" s="168">
        <f t="shared" si="6"/>
        <v>6354.7854465753435</v>
      </c>
      <c r="W21" s="32">
        <f t="shared" si="7"/>
        <v>6481.8811555068505</v>
      </c>
      <c r="X21" s="32">
        <f t="shared" si="8"/>
        <v>6608.9768644383576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340</v>
      </c>
      <c r="AM21" s="113">
        <f t="shared" ref="AM21:AM120" si="11">AJ21*AL21</f>
        <v>850000000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-اسفند97!D74</f>
        <v>-203880</v>
      </c>
      <c r="M22" s="168" t="s">
        <v>4391</v>
      </c>
      <c r="N22" s="113">
        <f t="shared" si="9"/>
        <v>64545456</v>
      </c>
      <c r="O22" s="99">
        <v>19265</v>
      </c>
      <c r="P22" s="186">
        <f>P44</f>
        <v>3350.4</v>
      </c>
      <c r="Q22" s="169">
        <v>1484689</v>
      </c>
      <c r="R22" s="168" t="s">
        <v>4430</v>
      </c>
      <c r="S22" s="168">
        <f>S21-7</f>
        <v>101</v>
      </c>
      <c r="T22" s="19" t="s">
        <v>4433</v>
      </c>
      <c r="U22" s="168">
        <v>5474</v>
      </c>
      <c r="V22" s="168">
        <f t="shared" si="6"/>
        <v>5959.4313205479457</v>
      </c>
      <c r="W22" s="32">
        <f t="shared" si="7"/>
        <v>6078.6199469589046</v>
      </c>
      <c r="X22" s="32">
        <f t="shared" si="8"/>
        <v>6197.8085733698636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339</v>
      </c>
      <c r="AM22" s="113">
        <f t="shared" si="11"/>
        <v>2712000000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7"/>
      <c r="L23" s="117"/>
      <c r="M23" s="217" t="s">
        <v>4410</v>
      </c>
      <c r="N23" s="113">
        <f t="shared" si="9"/>
        <v>80066972.099999994</v>
      </c>
      <c r="O23" s="99">
        <v>144447</v>
      </c>
      <c r="P23" s="186">
        <f>P48</f>
        <v>554.29999999999995</v>
      </c>
      <c r="Q23" s="169">
        <v>2197673</v>
      </c>
      <c r="R23" s="168" t="s">
        <v>4430</v>
      </c>
      <c r="S23" s="168">
        <f>S22</f>
        <v>101</v>
      </c>
      <c r="T23" s="19" t="s">
        <v>4434</v>
      </c>
      <c r="U23" s="168">
        <v>5349</v>
      </c>
      <c r="V23" s="168">
        <f t="shared" si="6"/>
        <v>5823.3463890410967</v>
      </c>
      <c r="W23" s="32">
        <f>V23*(1+$W$19/100)</f>
        <v>5939.8133168219183</v>
      </c>
      <c r="X23" s="32">
        <f t="shared" si="8"/>
        <v>6056.2802446027408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338</v>
      </c>
      <c r="AM23" s="113">
        <f t="shared" si="11"/>
        <v>-26888576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L67</f>
        <v>390442604.80154747</v>
      </c>
      <c r="G24" s="95">
        <f t="shared" si="0"/>
        <v>-110136259.41960883</v>
      </c>
      <c r="H24" s="11"/>
      <c r="I24" s="96"/>
      <c r="J24" s="96"/>
      <c r="K24" s="217"/>
      <c r="L24" s="117"/>
      <c r="M24" s="217" t="s">
        <v>4542</v>
      </c>
      <c r="N24" s="113">
        <f t="shared" si="9"/>
        <v>82285241.599999994</v>
      </c>
      <c r="O24" s="99">
        <v>19918</v>
      </c>
      <c r="P24" s="186">
        <f>P49</f>
        <v>4131.2</v>
      </c>
      <c r="Q24" s="169">
        <v>1353959</v>
      </c>
      <c r="R24" s="168" t="s">
        <v>4430</v>
      </c>
      <c r="S24" s="199">
        <f>S23</f>
        <v>101</v>
      </c>
      <c r="T24" s="19" t="s">
        <v>4476</v>
      </c>
      <c r="U24" s="168">
        <v>192.2</v>
      </c>
      <c r="V24" s="168">
        <f t="shared" si="6"/>
        <v>209.24419068493151</v>
      </c>
      <c r="W24" s="32">
        <f t="shared" si="7"/>
        <v>213.42907449863014</v>
      </c>
      <c r="X24" s="32">
        <f t="shared" si="8"/>
        <v>217.61395831232878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337</v>
      </c>
      <c r="AM24" s="113">
        <f t="shared" si="11"/>
        <v>55773500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4395</v>
      </c>
      <c r="N25" s="113">
        <f t="shared" si="9"/>
        <v>9723497.5999999996</v>
      </c>
      <c r="O25" s="99">
        <v>1828</v>
      </c>
      <c r="P25" s="99">
        <f>P47</f>
        <v>5319.2</v>
      </c>
      <c r="Q25" s="169">
        <v>1614398</v>
      </c>
      <c r="R25" s="168" t="s">
        <v>4438</v>
      </c>
      <c r="S25" s="168">
        <f>S24-3</f>
        <v>98</v>
      </c>
      <c r="T25" s="19" t="s">
        <v>4512</v>
      </c>
      <c r="U25" s="168">
        <v>184.6</v>
      </c>
      <c r="V25" s="168">
        <f t="shared" si="6"/>
        <v>200.54539397260277</v>
      </c>
      <c r="W25" s="32">
        <f t="shared" si="7"/>
        <v>204.55630185205482</v>
      </c>
      <c r="X25" s="32">
        <f t="shared" si="8"/>
        <v>208.56720973150689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325</v>
      </c>
      <c r="AM25" s="113">
        <f t="shared" si="11"/>
        <v>-9369856275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4519</v>
      </c>
      <c r="S26" s="198">
        <f>S25-22</f>
        <v>76</v>
      </c>
      <c r="T26" s="168" t="s">
        <v>4520</v>
      </c>
      <c r="U26" s="168">
        <v>166.2</v>
      </c>
      <c r="V26" s="168">
        <f t="shared" si="6"/>
        <v>177.75112767123289</v>
      </c>
      <c r="W26" s="32">
        <f t="shared" si="7"/>
        <v>181.30615022465756</v>
      </c>
      <c r="X26" s="32">
        <f t="shared" si="8"/>
        <v>184.86117277808222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319</v>
      </c>
      <c r="AM26" s="113">
        <f t="shared" si="11"/>
        <v>5901500000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0" t="s">
        <v>4460</v>
      </c>
      <c r="N27" s="113">
        <v>667881</v>
      </c>
      <c r="O27" s="69" t="s">
        <v>25</v>
      </c>
      <c r="P27" s="99"/>
      <c r="Q27" s="169">
        <v>220803</v>
      </c>
      <c r="R27" s="168" t="s">
        <v>4231</v>
      </c>
      <c r="S27" s="198">
        <f>S26-1</f>
        <v>75</v>
      </c>
      <c r="T27" s="168" t="s">
        <v>4526</v>
      </c>
      <c r="U27" s="168">
        <v>166</v>
      </c>
      <c r="V27" s="168">
        <f t="shared" si="6"/>
        <v>177.40988493150689</v>
      </c>
      <c r="W27" s="32">
        <f t="shared" si="7"/>
        <v>180.95808263013703</v>
      </c>
      <c r="X27" s="32">
        <f t="shared" si="8"/>
        <v>184.50628032876719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318</v>
      </c>
      <c r="AM27" s="113">
        <f t="shared" si="11"/>
        <v>-5898900000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0" t="s">
        <v>4395</v>
      </c>
      <c r="N28" s="113">
        <f>O28*P28</f>
        <v>250002.4</v>
      </c>
      <c r="O28" s="69">
        <v>47</v>
      </c>
      <c r="P28" s="99">
        <f>P47</f>
        <v>5319.2</v>
      </c>
      <c r="Q28" s="169">
        <v>1023940</v>
      </c>
      <c r="R28" s="168" t="s">
        <v>4527</v>
      </c>
      <c r="S28" s="198">
        <f>S27-2</f>
        <v>73</v>
      </c>
      <c r="T28" s="168" t="s">
        <v>4533</v>
      </c>
      <c r="U28" s="168">
        <v>160.19999999999999</v>
      </c>
      <c r="V28" s="168">
        <f t="shared" si="6"/>
        <v>170.96544</v>
      </c>
      <c r="W28" s="32">
        <f t="shared" si="7"/>
        <v>174.38474880000001</v>
      </c>
      <c r="X28" s="32">
        <f t="shared" si="8"/>
        <v>177.80405759999999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317</v>
      </c>
      <c r="AM28" s="113">
        <f t="shared" si="11"/>
        <v>-20592637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7"/>
      <c r="L29" s="117"/>
      <c r="M29" s="190" t="s">
        <v>4391</v>
      </c>
      <c r="N29" s="113">
        <f>O29*P29</f>
        <v>358492.8</v>
      </c>
      <c r="O29" s="69">
        <v>107</v>
      </c>
      <c r="P29" s="99">
        <f>P44</f>
        <v>3350.4</v>
      </c>
      <c r="Q29" s="169">
        <v>168846</v>
      </c>
      <c r="R29" s="168" t="s">
        <v>3691</v>
      </c>
      <c r="S29" s="198">
        <f>S28-28</f>
        <v>45</v>
      </c>
      <c r="T29" s="168" t="s">
        <v>4631</v>
      </c>
      <c r="U29" s="168">
        <v>172.2</v>
      </c>
      <c r="V29" s="168">
        <f t="shared" si="6"/>
        <v>180.07307835616439</v>
      </c>
      <c r="W29" s="32">
        <f t="shared" si="7"/>
        <v>183.67453992328768</v>
      </c>
      <c r="X29" s="32">
        <f t="shared" si="8"/>
        <v>187.27600149041098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312</v>
      </c>
      <c r="AM29" s="113">
        <f t="shared" si="11"/>
        <v>1996800000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7"/>
      <c r="L30" s="117"/>
      <c r="M30" s="190" t="s">
        <v>4410</v>
      </c>
      <c r="N30" s="113">
        <f>O30*P30</f>
        <v>386901.39999999997</v>
      </c>
      <c r="O30" s="69">
        <v>698</v>
      </c>
      <c r="P30" s="99">
        <f>P48</f>
        <v>554.29999999999995</v>
      </c>
      <c r="Q30" s="169">
        <v>250962</v>
      </c>
      <c r="R30" s="168" t="s">
        <v>4675</v>
      </c>
      <c r="S30" s="198">
        <f>S29-10</f>
        <v>35</v>
      </c>
      <c r="T30" s="168" t="s">
        <v>4676</v>
      </c>
      <c r="U30" s="168">
        <v>5315.5</v>
      </c>
      <c r="V30" s="168">
        <f t="shared" si="6"/>
        <v>5517.7511342465759</v>
      </c>
      <c r="W30" s="32">
        <f t="shared" si="7"/>
        <v>5628.1061569315079</v>
      </c>
      <c r="X30" s="32">
        <f t="shared" si="8"/>
        <v>5738.461179616439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311</v>
      </c>
      <c r="AM30" s="113">
        <f t="shared" si="11"/>
        <v>-52870000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4439</v>
      </c>
      <c r="N31" s="113">
        <f>O31*P31</f>
        <v>3300584</v>
      </c>
      <c r="O31" s="69">
        <v>17335</v>
      </c>
      <c r="P31" s="99">
        <f>P55</f>
        <v>190.4</v>
      </c>
      <c r="Q31" s="169">
        <v>350718</v>
      </c>
      <c r="R31" s="217" t="s">
        <v>4725</v>
      </c>
      <c r="S31" s="198">
        <f>S30-7</f>
        <v>28</v>
      </c>
      <c r="T31" s="217" t="s">
        <v>4726</v>
      </c>
      <c r="U31" s="217">
        <v>502.3</v>
      </c>
      <c r="V31" s="217">
        <f t="shared" si="6"/>
        <v>518.7148887671234</v>
      </c>
      <c r="W31" s="32">
        <f t="shared" si="7"/>
        <v>529.08918654246588</v>
      </c>
      <c r="X31" s="32">
        <f t="shared" si="8"/>
        <v>539.46348431780837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306</v>
      </c>
      <c r="AM31" s="113">
        <f t="shared" si="11"/>
        <v>-1927800000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7" t="s">
        <v>3684</v>
      </c>
      <c r="S32" s="198">
        <f>S31-15</f>
        <v>13</v>
      </c>
      <c r="T32" s="217" t="s">
        <v>4775</v>
      </c>
      <c r="U32" s="217">
        <v>486.4</v>
      </c>
      <c r="V32" s="217">
        <f t="shared" si="6"/>
        <v>496.69835397260277</v>
      </c>
      <c r="W32" s="32">
        <f t="shared" si="7"/>
        <v>506.63232105205486</v>
      </c>
      <c r="X32" s="32">
        <f t="shared" si="8"/>
        <v>516.56628813150689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305</v>
      </c>
      <c r="AM32" s="113">
        <f t="shared" si="11"/>
        <v>-15864575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7" t="s">
        <v>4776</v>
      </c>
      <c r="S33" s="198">
        <f>S32-1</f>
        <v>12</v>
      </c>
      <c r="T33" s="217" t="s">
        <v>4777</v>
      </c>
      <c r="U33" s="217">
        <v>476.1</v>
      </c>
      <c r="V33" s="217">
        <f t="shared" si="6"/>
        <v>485.81504876712341</v>
      </c>
      <c r="W33" s="32">
        <f t="shared" si="7"/>
        <v>495.53134974246586</v>
      </c>
      <c r="X33" s="32">
        <f t="shared" si="8"/>
        <v>505.24765071780837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289</v>
      </c>
      <c r="AM33" s="113">
        <f t="shared" si="11"/>
        <v>5785028600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-S149</f>
        <v>-390009974.80154747</v>
      </c>
      <c r="O34" s="96" t="s">
        <v>25</v>
      </c>
      <c r="P34" s="96" t="s">
        <v>25</v>
      </c>
      <c r="Q34" s="169">
        <v>10881161</v>
      </c>
      <c r="R34" s="217" t="s">
        <v>4776</v>
      </c>
      <c r="S34" s="198">
        <f>S33</f>
        <v>12</v>
      </c>
      <c r="T34" s="217" t="s">
        <v>4778</v>
      </c>
      <c r="U34" s="217">
        <v>3095</v>
      </c>
      <c r="V34" s="217">
        <f t="shared" si="6"/>
        <v>3158.1549589041101</v>
      </c>
      <c r="W34" s="32">
        <f t="shared" ref="W34:W46" si="13">V34*(1+$W$19/100)</f>
        <v>3221.3180580821922</v>
      </c>
      <c r="X34" s="32">
        <f t="shared" ref="X34:X46" si="14">V34*(1+$X$19/100)</f>
        <v>3284.4811572602748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289</v>
      </c>
      <c r="AM34" s="113">
        <f t="shared" si="11"/>
        <v>293180674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7" t="s">
        <v>4776</v>
      </c>
      <c r="S35" s="198">
        <f>S34</f>
        <v>12</v>
      </c>
      <c r="T35" s="217" t="s">
        <v>4779</v>
      </c>
      <c r="U35" s="217">
        <v>168.8</v>
      </c>
      <c r="V35" s="217">
        <f t="shared" si="6"/>
        <v>172.24444493150688</v>
      </c>
      <c r="W35" s="32">
        <f t="shared" si="13"/>
        <v>175.68933383013703</v>
      </c>
      <c r="X35" s="32">
        <f t="shared" si="14"/>
        <v>179.13422272876716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277</v>
      </c>
      <c r="AM35" s="113">
        <f t="shared" si="11"/>
        <v>99720000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فیزیکی'!M48*10*P56</f>
        <v>41715000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7" t="s">
        <v>4776</v>
      </c>
      <c r="S36" s="198">
        <f>S35</f>
        <v>12</v>
      </c>
      <c r="T36" s="217" t="s">
        <v>4780</v>
      </c>
      <c r="U36" s="217">
        <v>3859.8</v>
      </c>
      <c r="V36" s="217">
        <f t="shared" si="6"/>
        <v>3938.5610695890418</v>
      </c>
      <c r="W36" s="32">
        <f t="shared" si="13"/>
        <v>4017.3322909808226</v>
      </c>
      <c r="X36" s="32">
        <f t="shared" si="14"/>
        <v>4096.1035123726033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275</v>
      </c>
      <c r="AM36" s="113">
        <f t="shared" si="11"/>
        <v>-96250000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4841</v>
      </c>
      <c r="L37" s="117">
        <v>-47500000</v>
      </c>
      <c r="M37" s="73"/>
      <c r="N37" s="113"/>
      <c r="O37" s="96" t="s">
        <v>25</v>
      </c>
      <c r="P37" s="96"/>
      <c r="Q37" s="169">
        <v>10206388</v>
      </c>
      <c r="R37" s="217" t="s">
        <v>4786</v>
      </c>
      <c r="S37" s="198">
        <f>S36-1</f>
        <v>11</v>
      </c>
      <c r="T37" s="217" t="s">
        <v>4789</v>
      </c>
      <c r="U37" s="217">
        <v>3099.2</v>
      </c>
      <c r="V37" s="217">
        <f t="shared" si="6"/>
        <v>3160.0631934246576</v>
      </c>
      <c r="W37" s="32">
        <f t="shared" si="13"/>
        <v>3223.2644572931508</v>
      </c>
      <c r="X37" s="32">
        <f t="shared" si="14"/>
        <v>3286.4657211616441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275</v>
      </c>
      <c r="AM37" s="113">
        <f t="shared" si="11"/>
        <v>275000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/>
      <c r="L38" s="117"/>
      <c r="M38" s="168" t="s">
        <v>1086</v>
      </c>
      <c r="N38" s="113">
        <f>('خرید و فروش سکه فیزیکی'!M47+3)*10*P56</f>
        <v>32445000</v>
      </c>
      <c r="O38" s="96"/>
      <c r="P38" s="96" t="s">
        <v>25</v>
      </c>
      <c r="Q38" s="169">
        <v>13402013</v>
      </c>
      <c r="R38" s="217" t="s">
        <v>4786</v>
      </c>
      <c r="S38" s="198">
        <f>S37</f>
        <v>11</v>
      </c>
      <c r="T38" s="217" t="s">
        <v>4790</v>
      </c>
      <c r="U38" s="217">
        <v>3853.3</v>
      </c>
      <c r="V38" s="217">
        <f t="shared" si="6"/>
        <v>3928.9724778082195</v>
      </c>
      <c r="W38" s="32">
        <f t="shared" si="13"/>
        <v>4007.551927364384</v>
      </c>
      <c r="X38" s="32">
        <f t="shared" si="14"/>
        <v>4086.1313769205485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274</v>
      </c>
      <c r="AM38" s="113">
        <f t="shared" si="11"/>
        <v>9209140000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68" t="s">
        <v>4840</v>
      </c>
      <c r="N39" s="113">
        <v>-18000000</v>
      </c>
      <c r="O39" s="96"/>
      <c r="P39" s="114"/>
      <c r="Q39" s="169">
        <v>138358</v>
      </c>
      <c r="R39" s="217" t="s">
        <v>4795</v>
      </c>
      <c r="S39" s="198">
        <f>S38-1</f>
        <v>10</v>
      </c>
      <c r="T39" s="217" t="s">
        <v>4796</v>
      </c>
      <c r="U39" s="217">
        <v>3130</v>
      </c>
      <c r="V39" s="217">
        <f t="shared" si="6"/>
        <v>3189.0669589041099</v>
      </c>
      <c r="W39" s="32">
        <f t="shared" si="13"/>
        <v>3252.8482980821923</v>
      </c>
      <c r="X39" s="32">
        <f t="shared" si="14"/>
        <v>3316.6296372602746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270</v>
      </c>
      <c r="AM39" s="113">
        <f t="shared" si="11"/>
        <v>-4212000000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4842</v>
      </c>
      <c r="N40" s="113">
        <v>-47000000</v>
      </c>
      <c r="O40" s="96"/>
      <c r="P40" s="96"/>
      <c r="Q40" s="169">
        <v>3377001</v>
      </c>
      <c r="R40" s="217" t="s">
        <v>4804</v>
      </c>
      <c r="S40" s="198">
        <f>S39-4</f>
        <v>6</v>
      </c>
      <c r="T40" s="217" t="s">
        <v>4810</v>
      </c>
      <c r="U40" s="217">
        <v>3324.8</v>
      </c>
      <c r="V40" s="217">
        <f t="shared" si="6"/>
        <v>3377.3409490410963</v>
      </c>
      <c r="W40" s="32">
        <f t="shared" si="13"/>
        <v>3444.8877680219184</v>
      </c>
      <c r="X40" s="32">
        <f t="shared" si="14"/>
        <v>3512.4345870027405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267</v>
      </c>
      <c r="AM40" s="113">
        <f t="shared" si="11"/>
        <v>2002500000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/>
      <c r="L41" s="117"/>
      <c r="M41" s="168"/>
      <c r="N41" s="113"/>
      <c r="O41" s="96" t="s">
        <v>25</v>
      </c>
      <c r="P41" s="96"/>
      <c r="Q41" s="169">
        <v>63610880</v>
      </c>
      <c r="R41" s="217" t="s">
        <v>4804</v>
      </c>
      <c r="S41" s="198">
        <f>S40</f>
        <v>6</v>
      </c>
      <c r="T41" s="217" t="s">
        <v>4808</v>
      </c>
      <c r="U41" s="217">
        <v>4176.3</v>
      </c>
      <c r="V41" s="217">
        <f t="shared" si="6"/>
        <v>4242.2969819178088</v>
      </c>
      <c r="W41" s="32">
        <f t="shared" si="13"/>
        <v>4327.1429215561648</v>
      </c>
      <c r="X41" s="32">
        <f t="shared" si="14"/>
        <v>4411.9888611945216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263</v>
      </c>
      <c r="AM41" s="113">
        <f t="shared" si="11"/>
        <v>-25774000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4614</v>
      </c>
      <c r="L42" s="117">
        <v>2000000</v>
      </c>
      <c r="M42" s="168" t="s">
        <v>4459</v>
      </c>
      <c r="N42" s="113">
        <v>600029</v>
      </c>
      <c r="P42" t="s">
        <v>25</v>
      </c>
      <c r="Q42" s="169">
        <v>15499033</v>
      </c>
      <c r="R42" s="217" t="s">
        <v>4804</v>
      </c>
      <c r="S42" s="198">
        <f>S41</f>
        <v>6</v>
      </c>
      <c r="T42" s="217" t="s">
        <v>4809</v>
      </c>
      <c r="U42" s="217">
        <v>525.1</v>
      </c>
      <c r="V42" s="217">
        <f t="shared" si="6"/>
        <v>533.39801863013702</v>
      </c>
      <c r="W42" s="32">
        <f t="shared" si="13"/>
        <v>544.06597900273982</v>
      </c>
      <c r="X42" s="32">
        <f t="shared" si="14"/>
        <v>554.73393937534252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262</v>
      </c>
      <c r="AM42" s="113">
        <f t="shared" si="11"/>
        <v>-6812000000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 t="s">
        <v>4908</v>
      </c>
      <c r="L43" s="117">
        <v>-2000000</v>
      </c>
      <c r="M43" s="168"/>
      <c r="N43" s="113"/>
      <c r="O43" s="99"/>
      <c r="P43" s="99"/>
      <c r="Q43" s="169">
        <v>30673673</v>
      </c>
      <c r="R43" s="217" t="s">
        <v>4814</v>
      </c>
      <c r="S43" s="198">
        <f>S42-1</f>
        <v>5</v>
      </c>
      <c r="T43" s="217" t="s">
        <v>4819</v>
      </c>
      <c r="U43" s="217">
        <v>529.79999999999995</v>
      </c>
      <c r="V43" s="217">
        <f t="shared" si="6"/>
        <v>537.76586958904113</v>
      </c>
      <c r="W43" s="32">
        <f t="shared" si="13"/>
        <v>548.52118698082199</v>
      </c>
      <c r="X43" s="32">
        <f t="shared" si="14"/>
        <v>559.27650437260274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262</v>
      </c>
      <c r="AM43" s="113">
        <f t="shared" si="11"/>
        <v>6550000000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/>
      <c r="L44" s="117"/>
      <c r="M44" s="208" t="s">
        <v>4391</v>
      </c>
      <c r="N44" s="113">
        <f>O44*P44</f>
        <v>89790720</v>
      </c>
      <c r="O44" s="99">
        <v>26800</v>
      </c>
      <c r="P44" s="99">
        <v>3350.4</v>
      </c>
      <c r="Q44" s="169">
        <v>5420397</v>
      </c>
      <c r="R44" s="217" t="s">
        <v>4814</v>
      </c>
      <c r="S44" s="198">
        <f>S43</f>
        <v>5</v>
      </c>
      <c r="T44" s="217" t="s">
        <v>4820</v>
      </c>
      <c r="U44" s="217">
        <v>5395.9</v>
      </c>
      <c r="V44" s="217">
        <f t="shared" si="6"/>
        <v>5477.0306827397262</v>
      </c>
      <c r="W44" s="32">
        <f t="shared" si="13"/>
        <v>5586.5712963945207</v>
      </c>
      <c r="X44" s="32">
        <f t="shared" si="14"/>
        <v>5696.1119100493152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261</v>
      </c>
      <c r="AM44" s="113">
        <f t="shared" si="11"/>
        <v>28710000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/>
      <c r="L45" s="117"/>
      <c r="M45" s="21" t="s">
        <v>4590</v>
      </c>
      <c r="N45" s="117">
        <f t="shared" ref="N45:N56" si="15">O45*P45</f>
        <v>709200</v>
      </c>
      <c r="O45" s="69">
        <v>2000</v>
      </c>
      <c r="P45" s="69">
        <v>354.6</v>
      </c>
      <c r="Q45" s="169">
        <v>38533873</v>
      </c>
      <c r="R45" s="217" t="s">
        <v>4814</v>
      </c>
      <c r="S45" s="198">
        <f>S44</f>
        <v>5</v>
      </c>
      <c r="T45" s="217" t="s">
        <v>4821</v>
      </c>
      <c r="U45" s="217">
        <v>3355.8</v>
      </c>
      <c r="V45" s="217">
        <f t="shared" si="6"/>
        <v>3406.2565216438361</v>
      </c>
      <c r="W45" s="32">
        <f t="shared" si="13"/>
        <v>3474.3816520767127</v>
      </c>
      <c r="X45" s="32">
        <f t="shared" si="14"/>
        <v>3542.5067825095898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260</v>
      </c>
      <c r="AM45" s="113">
        <f t="shared" si="11"/>
        <v>98800000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4576</v>
      </c>
      <c r="N46" s="117">
        <f t="shared" si="15"/>
        <v>1091700</v>
      </c>
      <c r="O46" s="69">
        <v>1000</v>
      </c>
      <c r="P46" s="69">
        <v>1091.7</v>
      </c>
      <c r="Q46" s="169"/>
      <c r="R46" s="168"/>
      <c r="S46" s="168"/>
      <c r="T46" s="168"/>
      <c r="U46" s="168"/>
      <c r="V46" s="217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253</v>
      </c>
      <c r="AM46" s="113">
        <f t="shared" si="11"/>
        <v>113850000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4395</v>
      </c>
      <c r="N47" s="113">
        <f t="shared" si="15"/>
        <v>153427004.79999998</v>
      </c>
      <c r="O47" s="69">
        <v>28844</v>
      </c>
      <c r="P47" s="69">
        <v>5319.2</v>
      </c>
      <c r="Q47" s="169">
        <f>SUM(N21:N25)-SUM(Q20:Q46)</f>
        <v>7804495.8999999762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247</v>
      </c>
      <c r="AM47" s="113">
        <f t="shared" si="11"/>
        <v>691600000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4410</v>
      </c>
      <c r="N48" s="117">
        <f t="shared" si="15"/>
        <v>59077293.999999993</v>
      </c>
      <c r="O48" s="69">
        <v>106580</v>
      </c>
      <c r="P48" s="69">
        <v>554.29999999999995</v>
      </c>
      <c r="R48" s="115"/>
      <c r="S48" s="115" t="s">
        <v>25</v>
      </c>
      <c r="T48" s="115"/>
      <c r="U48" s="115"/>
      <c r="V48" s="115"/>
      <c r="W48" s="195"/>
      <c r="X48" s="195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246</v>
      </c>
      <c r="AM48" s="113">
        <f t="shared" si="11"/>
        <v>-369000000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4542</v>
      </c>
      <c r="N49" s="117">
        <f t="shared" si="15"/>
        <v>4474089.5999999996</v>
      </c>
      <c r="O49" s="69">
        <v>1083</v>
      </c>
      <c r="P49" s="69">
        <v>4131.2</v>
      </c>
      <c r="Q49" s="96"/>
      <c r="R49" s="115"/>
      <c r="S49" s="115"/>
      <c r="T49" s="115" t="s">
        <v>25</v>
      </c>
      <c r="U49" s="115"/>
      <c r="V49" s="115"/>
      <c r="W49" s="195"/>
      <c r="X49" s="195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246</v>
      </c>
      <c r="AM49" s="113">
        <f t="shared" si="11"/>
        <v>750300000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4541</v>
      </c>
      <c r="N50" s="117">
        <f t="shared" si="15"/>
        <v>14350020.6</v>
      </c>
      <c r="O50" s="69">
        <v>2913</v>
      </c>
      <c r="P50" s="69">
        <v>4926.2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243</v>
      </c>
      <c r="AM50" s="113">
        <f t="shared" si="11"/>
        <v>-2016805716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4623</v>
      </c>
      <c r="N51" s="117">
        <f t="shared" si="15"/>
        <v>3996870</v>
      </c>
      <c r="O51" s="69">
        <v>5100</v>
      </c>
      <c r="P51" s="69">
        <v>783.7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4363</v>
      </c>
      <c r="V51" s="73" t="s">
        <v>4365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241</v>
      </c>
      <c r="AM51" s="113">
        <f t="shared" si="11"/>
        <v>1205000000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21" t="s">
        <v>4296</v>
      </c>
      <c r="N52" s="117">
        <f>O52*P52</f>
        <v>2137583.5</v>
      </c>
      <c r="O52" s="69">
        <v>6997</v>
      </c>
      <c r="P52" s="69">
        <v>305.5</v>
      </c>
      <c r="Q52" s="168">
        <v>0</v>
      </c>
      <c r="R52" s="168" t="s">
        <v>4172</v>
      </c>
      <c r="S52" s="168">
        <f>S70</f>
        <v>160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227</v>
      </c>
      <c r="AM52" s="113">
        <f t="shared" si="11"/>
        <v>-20430000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19" t="s">
        <v>4594</v>
      </c>
      <c r="N53" s="113">
        <f t="shared" si="15"/>
        <v>207443.59999999998</v>
      </c>
      <c r="O53" s="69">
        <v>1148</v>
      </c>
      <c r="P53" s="69">
        <v>180.7</v>
      </c>
      <c r="Q53" s="169">
        <v>863944</v>
      </c>
      <c r="R53" s="168" t="s">
        <v>4438</v>
      </c>
      <c r="S53" s="168">
        <f>S52-62</f>
        <v>98</v>
      </c>
      <c r="T53" s="191" t="s">
        <v>4513</v>
      </c>
      <c r="U53" s="168">
        <v>184.6</v>
      </c>
      <c r="V53" s="168">
        <f t="shared" ref="V53:V61" si="16">U53*(1+$N$87+$Q$15*S53/36500)</f>
        <v>200.54539397260277</v>
      </c>
      <c r="W53" s="32">
        <f t="shared" ref="W53:W61" si="17">V53*(1+$W$19/100)</f>
        <v>204.55630185205482</v>
      </c>
      <c r="X53" s="32">
        <f t="shared" ref="X53:X61" si="18">V53*(1+$X$19/100)</f>
        <v>208.56720973150689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226</v>
      </c>
      <c r="AM53" s="113">
        <f t="shared" si="11"/>
        <v>1265600000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4640</v>
      </c>
      <c r="N54" s="117">
        <f t="shared" si="15"/>
        <v>1207250</v>
      </c>
      <c r="O54" s="69">
        <v>5500</v>
      </c>
      <c r="P54" s="69">
        <v>219.5</v>
      </c>
      <c r="Q54" s="169">
        <v>1692313</v>
      </c>
      <c r="R54" s="168" t="s">
        <v>4516</v>
      </c>
      <c r="S54" s="198">
        <f>S53-21</f>
        <v>77</v>
      </c>
      <c r="T54" s="190" t="s">
        <v>4517</v>
      </c>
      <c r="U54" s="168">
        <v>168.5</v>
      </c>
      <c r="V54" s="168">
        <f t="shared" si="16"/>
        <v>180.34024109589041</v>
      </c>
      <c r="W54" s="32">
        <f t="shared" si="17"/>
        <v>183.94704591780823</v>
      </c>
      <c r="X54" s="32">
        <f t="shared" si="18"/>
        <v>187.55385073972602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222</v>
      </c>
      <c r="AM54" s="113">
        <f t="shared" si="11"/>
        <v>166500000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56"/>
      <c r="L55" s="117"/>
      <c r="M55" s="19" t="s">
        <v>4179</v>
      </c>
      <c r="N55" s="113">
        <f t="shared" si="15"/>
        <v>239235315.20000002</v>
      </c>
      <c r="O55" s="99">
        <v>1256488</v>
      </c>
      <c r="P55" s="99">
        <v>190.4</v>
      </c>
      <c r="Q55" s="169">
        <v>101153</v>
      </c>
      <c r="R55" s="168" t="s">
        <v>4519</v>
      </c>
      <c r="S55" s="198">
        <f>S54-1</f>
        <v>76</v>
      </c>
      <c r="T55" s="190" t="s">
        <v>4521</v>
      </c>
      <c r="U55" s="168">
        <v>166.7</v>
      </c>
      <c r="V55" s="168">
        <f t="shared" si="16"/>
        <v>178.2858783561644</v>
      </c>
      <c r="W55" s="32">
        <f t="shared" si="17"/>
        <v>181.8515959232877</v>
      </c>
      <c r="X55" s="32">
        <f t="shared" si="18"/>
        <v>185.41731349041098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220</v>
      </c>
      <c r="AM55" s="170">
        <f t="shared" si="11"/>
        <v>-933240000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1086</v>
      </c>
      <c r="N56" s="117">
        <f t="shared" si="15"/>
        <v>13905000</v>
      </c>
      <c r="O56" s="69">
        <v>30</v>
      </c>
      <c r="P56" s="69">
        <v>463500</v>
      </c>
      <c r="Q56" s="169">
        <v>183105</v>
      </c>
      <c r="R56" s="168" t="s">
        <v>4231</v>
      </c>
      <c r="S56" s="198">
        <f>S55-1</f>
        <v>75</v>
      </c>
      <c r="T56" s="190" t="s">
        <v>4525</v>
      </c>
      <c r="U56" s="168">
        <v>166.6</v>
      </c>
      <c r="V56" s="168">
        <f t="shared" si="16"/>
        <v>178.05112547945208</v>
      </c>
      <c r="W56" s="32">
        <f t="shared" si="17"/>
        <v>181.61214798904112</v>
      </c>
      <c r="X56" s="32">
        <f t="shared" si="18"/>
        <v>185.17317049863018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218</v>
      </c>
      <c r="AM56" s="113">
        <f t="shared" si="11"/>
        <v>893800000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73"/>
      <c r="N57" s="117"/>
      <c r="O57" s="122"/>
      <c r="P57" s="122"/>
      <c r="Q57" s="169">
        <v>168846</v>
      </c>
      <c r="R57" s="168" t="s">
        <v>3691</v>
      </c>
      <c r="S57" s="198">
        <f>S56-30</f>
        <v>45</v>
      </c>
      <c r="T57" s="190" t="s">
        <v>4631</v>
      </c>
      <c r="U57" s="168">
        <v>172.2</v>
      </c>
      <c r="V57" s="168">
        <f t="shared" si="16"/>
        <v>180.07307835616439</v>
      </c>
      <c r="W57" s="32">
        <f t="shared" si="17"/>
        <v>183.67453992328768</v>
      </c>
      <c r="X57" s="32">
        <f t="shared" si="18"/>
        <v>187.27600149041098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218</v>
      </c>
      <c r="AM57" s="113">
        <f t="shared" si="11"/>
        <v>893800000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68" t="s">
        <v>1152</v>
      </c>
      <c r="N58" s="117">
        <v>14908</v>
      </c>
      <c r="O58" s="96" t="s">
        <v>25</v>
      </c>
      <c r="P58" t="s">
        <v>25</v>
      </c>
      <c r="Q58" s="169">
        <v>250962</v>
      </c>
      <c r="R58" s="168" t="s">
        <v>4675</v>
      </c>
      <c r="S58" s="198">
        <f>S57-10</f>
        <v>35</v>
      </c>
      <c r="T58" s="190" t="s">
        <v>4676</v>
      </c>
      <c r="U58" s="168">
        <v>5315.5</v>
      </c>
      <c r="V58" s="168">
        <f t="shared" si="16"/>
        <v>5517.7511342465759</v>
      </c>
      <c r="W58" s="32">
        <f t="shared" si="17"/>
        <v>5628.1061569315079</v>
      </c>
      <c r="X58" s="32">
        <f t="shared" si="18"/>
        <v>5738.461179616439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217</v>
      </c>
      <c r="AM58" s="113">
        <f t="shared" si="11"/>
        <v>171430000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99"/>
      <c r="M59" s="168" t="s">
        <v>1153</v>
      </c>
      <c r="N59" s="117">
        <v>5282</v>
      </c>
      <c r="O59" s="96"/>
      <c r="P59" t="s">
        <v>25</v>
      </c>
      <c r="Q59" s="169">
        <v>352231</v>
      </c>
      <c r="R59" s="217" t="s">
        <v>4725</v>
      </c>
      <c r="S59" s="198">
        <f>S58-7</f>
        <v>28</v>
      </c>
      <c r="T59" s="190" t="s">
        <v>4727</v>
      </c>
      <c r="U59" s="217">
        <v>502.3</v>
      </c>
      <c r="V59" s="217">
        <f t="shared" si="16"/>
        <v>518.7148887671234</v>
      </c>
      <c r="W59" s="32">
        <f t="shared" si="17"/>
        <v>529.08918654246588</v>
      </c>
      <c r="X59" s="32">
        <f t="shared" si="18"/>
        <v>539.46348431780837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202</v>
      </c>
      <c r="AM59" s="172">
        <f t="shared" si="11"/>
        <v>-780730000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/>
      <c r="L60" s="117"/>
      <c r="M60" s="168"/>
      <c r="N60" s="113"/>
      <c r="O60" s="115"/>
      <c r="P60" s="115"/>
      <c r="Q60" s="169">
        <v>165067</v>
      </c>
      <c r="R60" s="217" t="s">
        <v>4776</v>
      </c>
      <c r="S60" s="198">
        <f>S59-16</f>
        <v>12</v>
      </c>
      <c r="T60" s="190" t="s">
        <v>4784</v>
      </c>
      <c r="U60" s="217">
        <v>3095.9</v>
      </c>
      <c r="V60" s="217">
        <f t="shared" si="16"/>
        <v>3159.073323835617</v>
      </c>
      <c r="W60" s="32">
        <f t="shared" si="17"/>
        <v>3222.2547903123295</v>
      </c>
      <c r="X60" s="32">
        <f t="shared" si="18"/>
        <v>3285.4362567890416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196</v>
      </c>
      <c r="AM60" s="113">
        <f t="shared" si="11"/>
        <v>3684800000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 t="s">
        <v>25</v>
      </c>
      <c r="L61" s="117"/>
      <c r="M61" s="168" t="s">
        <v>4180</v>
      </c>
      <c r="N61" s="113">
        <f>-O61*P61</f>
        <v>-12672452.800000001</v>
      </c>
      <c r="O61" s="99">
        <v>66557</v>
      </c>
      <c r="P61" s="99">
        <f>P55</f>
        <v>190.4</v>
      </c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193</v>
      </c>
      <c r="AM61" s="113">
        <f t="shared" si="11"/>
        <v>96500000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518359.59999999963</v>
      </c>
      <c r="R62" s="168"/>
      <c r="S62" s="168"/>
      <c r="T62" s="168"/>
      <c r="U62" s="168"/>
      <c r="V62" s="168"/>
      <c r="W62" s="32"/>
      <c r="X62" s="32"/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192</v>
      </c>
      <c r="AM62" s="113">
        <f t="shared" si="11"/>
        <v>38400000</v>
      </c>
      <c r="AN62" s="20"/>
    </row>
    <row r="63" spans="1:40">
      <c r="E63" s="26"/>
      <c r="K63" s="168"/>
      <c r="L63" s="117"/>
      <c r="M63" s="168"/>
      <c r="N63" s="113"/>
      <c r="R63" s="115"/>
      <c r="S63" s="115"/>
      <c r="T63" s="115" t="s">
        <v>25</v>
      </c>
      <c r="U63" s="115"/>
      <c r="V63" s="115"/>
      <c r="W63" s="195"/>
      <c r="X63" s="195"/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189</v>
      </c>
      <c r="AM63" s="113">
        <f t="shared" si="11"/>
        <v>189000000</v>
      </c>
      <c r="AN63" s="20"/>
    </row>
    <row r="64" spans="1:40">
      <c r="E64" s="26"/>
      <c r="K64" s="168"/>
      <c r="L64" s="117"/>
      <c r="M64" s="168" t="s">
        <v>4446</v>
      </c>
      <c r="N64" s="113">
        <f>-S150</f>
        <v>-15159074.122737318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5"/>
      <c r="X64" s="195"/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186</v>
      </c>
      <c r="AM64" s="113">
        <f t="shared" si="11"/>
        <v>241800000</v>
      </c>
      <c r="AN64" s="20"/>
    </row>
    <row r="65" spans="1:40">
      <c r="K65" s="168"/>
      <c r="L65" s="117"/>
      <c r="M65" s="168" t="s">
        <v>4750</v>
      </c>
      <c r="N65" s="113">
        <f>50*P56</f>
        <v>23175000</v>
      </c>
      <c r="P65" t="s">
        <v>25</v>
      </c>
      <c r="Q65" t="s">
        <v>25</v>
      </c>
      <c r="T65" t="s">
        <v>25</v>
      </c>
      <c r="W65" s="195"/>
      <c r="X65" s="195"/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186</v>
      </c>
      <c r="AM65" s="113">
        <f t="shared" si="11"/>
        <v>185070000</v>
      </c>
      <c r="AN65" s="20"/>
    </row>
    <row r="66" spans="1:40">
      <c r="K66" s="168"/>
      <c r="L66" s="117"/>
      <c r="M66" s="168"/>
      <c r="N66" s="113"/>
      <c r="P66" t="s">
        <v>25</v>
      </c>
      <c r="T66" t="s">
        <v>25</v>
      </c>
      <c r="U66" s="96" t="s">
        <v>25</v>
      </c>
      <c r="W66" s="195"/>
      <c r="X66" s="195"/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184</v>
      </c>
      <c r="AM66" s="113">
        <f t="shared" si="11"/>
        <v>2392000000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598</v>
      </c>
      <c r="L67" s="113">
        <f>SUM(L16:L51)</f>
        <v>390442604.80154747</v>
      </c>
      <c r="M67" s="168"/>
      <c r="N67" s="113">
        <f>SUM(N16:N66)</f>
        <v>420640883.07571518</v>
      </c>
      <c r="W67" s="195"/>
      <c r="X67" s="195"/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182</v>
      </c>
      <c r="AM67" s="113">
        <f t="shared" si="11"/>
        <v>-564200000</v>
      </c>
      <c r="AN67" s="20"/>
    </row>
    <row r="68" spans="1:40" ht="30">
      <c r="F68" t="s">
        <v>4103</v>
      </c>
      <c r="G68" t="s">
        <v>4098</v>
      </c>
      <c r="K68" s="168" t="s">
        <v>599</v>
      </c>
      <c r="L68" s="113">
        <f>L16+L17+L25</f>
        <v>621510</v>
      </c>
      <c r="M68" s="168"/>
      <c r="N68" s="113">
        <f>N16+N17+N35</f>
        <v>1452112</v>
      </c>
      <c r="Q68" s="73" t="s">
        <v>4295</v>
      </c>
      <c r="R68" s="112"/>
      <c r="S68" s="112"/>
      <c r="T68" s="112"/>
      <c r="U68" s="168" t="s">
        <v>4363</v>
      </c>
      <c r="V68" s="36" t="s">
        <v>4365</v>
      </c>
      <c r="W68" s="32"/>
      <c r="X68" s="32"/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179</v>
      </c>
      <c r="AM68" s="113">
        <f t="shared" si="11"/>
        <v>8169560000</v>
      </c>
      <c r="AN68" s="20"/>
    </row>
    <row r="69" spans="1:40">
      <c r="F69" t="s">
        <v>4104</v>
      </c>
      <c r="G69" t="s">
        <v>4100</v>
      </c>
      <c r="K69" s="56" t="s">
        <v>716</v>
      </c>
      <c r="L69" s="1">
        <f>L67+N7</f>
        <v>460442604.80154747</v>
      </c>
      <c r="M69" s="113"/>
      <c r="N69" s="168"/>
      <c r="O69" s="115"/>
      <c r="P69" s="115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178</v>
      </c>
      <c r="AM69" s="113">
        <f t="shared" si="11"/>
        <v>5963000000</v>
      </c>
      <c r="AN69" s="20"/>
    </row>
    <row r="70" spans="1:40">
      <c r="G70" t="s">
        <v>4101</v>
      </c>
      <c r="O70" s="96"/>
      <c r="P70" s="96"/>
      <c r="Q70" s="35">
        <v>184971545</v>
      </c>
      <c r="R70" s="5" t="s">
        <v>4172</v>
      </c>
      <c r="S70" s="5">
        <v>160</v>
      </c>
      <c r="T70" s="5" t="s">
        <v>4346</v>
      </c>
      <c r="U70" s="168">
        <v>192</v>
      </c>
      <c r="V70" s="99">
        <f t="shared" ref="V70:V101" si="20">U70*(1+$N$87+$Q$15*S70/36500)</f>
        <v>217.7164273972603</v>
      </c>
      <c r="W70" s="32">
        <f t="shared" ref="W70:W92" si="21">V70*(1+$W$19/100)</f>
        <v>222.07075594520552</v>
      </c>
      <c r="X70" s="32">
        <f t="shared" ref="X70:X92" si="22">V70*(1+$X$19/100)</f>
        <v>226.42508449315073</v>
      </c>
      <c r="Y70">
        <v>961521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177</v>
      </c>
      <c r="AM70" s="117">
        <f t="shared" si="11"/>
        <v>2124000000</v>
      </c>
      <c r="AN70" s="20"/>
    </row>
    <row r="71" spans="1:40">
      <c r="G71" t="s">
        <v>4102</v>
      </c>
      <c r="M71" s="25"/>
      <c r="O71" t="s">
        <v>25</v>
      </c>
      <c r="Q71" s="35">
        <v>9560464</v>
      </c>
      <c r="R71" s="5" t="s">
        <v>4299</v>
      </c>
      <c r="S71" s="5">
        <f>S70-31</f>
        <v>129</v>
      </c>
      <c r="T71" s="5" t="s">
        <v>4312</v>
      </c>
      <c r="U71" s="168">
        <v>214.57</v>
      </c>
      <c r="V71" s="99">
        <f t="shared" si="20"/>
        <v>238.20679605479455</v>
      </c>
      <c r="W71" s="32">
        <f t="shared" si="21"/>
        <v>242.97093197589044</v>
      </c>
      <c r="X71" s="32">
        <f t="shared" si="22"/>
        <v>247.73506789698635</v>
      </c>
      <c r="Y71">
        <v>44349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176</v>
      </c>
      <c r="AM71" s="117">
        <f t="shared" si="11"/>
        <v>2728000000</v>
      </c>
      <c r="AN71" s="20"/>
    </row>
    <row r="72" spans="1:40">
      <c r="G72" t="s">
        <v>4106</v>
      </c>
      <c r="M72" s="25" t="s">
        <v>4080</v>
      </c>
      <c r="O72" s="115"/>
      <c r="P72" s="115"/>
      <c r="Q72" s="35">
        <v>2000000</v>
      </c>
      <c r="R72" s="5" t="s">
        <v>4342</v>
      </c>
      <c r="S72" s="5">
        <f>S71-11</f>
        <v>118</v>
      </c>
      <c r="T72" s="5" t="s">
        <v>4345</v>
      </c>
      <c r="U72" s="168">
        <v>206.8</v>
      </c>
      <c r="V72" s="99">
        <f t="shared" si="20"/>
        <v>227.8358093150685</v>
      </c>
      <c r="W72" s="32">
        <f t="shared" si="21"/>
        <v>232.39252550136987</v>
      </c>
      <c r="X72" s="32">
        <f t="shared" si="22"/>
        <v>236.94924168767125</v>
      </c>
      <c r="Y72">
        <v>9625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172</v>
      </c>
      <c r="AM72" s="117">
        <f t="shared" si="11"/>
        <v>25800000</v>
      </c>
      <c r="AN72" s="20"/>
    </row>
    <row r="73" spans="1:40">
      <c r="G73" t="s">
        <v>4105</v>
      </c>
      <c r="M73" s="177"/>
      <c r="O73" s="115"/>
      <c r="P73" s="115"/>
      <c r="Q73" s="35">
        <v>1429825</v>
      </c>
      <c r="R73" s="5" t="s">
        <v>4372</v>
      </c>
      <c r="S73" s="5">
        <f>S72-7</f>
        <v>111</v>
      </c>
      <c r="T73" s="5" t="s">
        <v>4381</v>
      </c>
      <c r="U73" s="168">
        <v>203.9</v>
      </c>
      <c r="V73" s="99">
        <f t="shared" si="20"/>
        <v>223.54590465753429</v>
      </c>
      <c r="W73" s="32">
        <f t="shared" si="21"/>
        <v>228.01682275068498</v>
      </c>
      <c r="X73" s="32">
        <f t="shared" si="22"/>
        <v>232.48774084383567</v>
      </c>
      <c r="Y73">
        <v>6980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19"/>
        <v>171</v>
      </c>
      <c r="AM73" s="180">
        <f t="shared" si="11"/>
        <v>4959000000</v>
      </c>
      <c r="AN73" s="179" t="s">
        <v>4186</v>
      </c>
    </row>
    <row r="74" spans="1:40">
      <c r="M74" s="96" t="s">
        <v>4881</v>
      </c>
      <c r="Q74" s="35">
        <v>1420747</v>
      </c>
      <c r="R74" s="5" t="s">
        <v>4372</v>
      </c>
      <c r="S74" s="5">
        <f>S73</f>
        <v>111</v>
      </c>
      <c r="T74" s="5" t="s">
        <v>4383</v>
      </c>
      <c r="U74" s="168">
        <v>203.1</v>
      </c>
      <c r="V74" s="99">
        <f t="shared" si="20"/>
        <v>222.66882410958905</v>
      </c>
      <c r="W74" s="32">
        <f t="shared" si="21"/>
        <v>227.12220059178082</v>
      </c>
      <c r="X74" s="32">
        <f t="shared" si="22"/>
        <v>231.57557707397262</v>
      </c>
      <c r="Y74">
        <v>6963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156</v>
      </c>
      <c r="AM74" s="117">
        <f t="shared" si="11"/>
        <v>-20280000</v>
      </c>
      <c r="AN74" s="20" t="s">
        <v>4212</v>
      </c>
    </row>
    <row r="75" spans="1:40">
      <c r="M75" s="122" t="s">
        <v>4411</v>
      </c>
      <c r="O75" s="114"/>
      <c r="Q75" s="35">
        <v>2412371</v>
      </c>
      <c r="R75" s="5" t="s">
        <v>4374</v>
      </c>
      <c r="S75" s="5">
        <f>S74-1</f>
        <v>110</v>
      </c>
      <c r="T75" s="5" t="s">
        <v>4390</v>
      </c>
      <c r="U75" s="168">
        <v>3930</v>
      </c>
      <c r="V75" s="99">
        <f t="shared" si="20"/>
        <v>4305.6433972602745</v>
      </c>
      <c r="W75" s="32">
        <f t="shared" si="21"/>
        <v>4391.7562652054803</v>
      </c>
      <c r="X75" s="32">
        <f t="shared" si="22"/>
        <v>4477.8691331506852</v>
      </c>
      <c r="Y75" s="96">
        <v>0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149</v>
      </c>
      <c r="AM75" s="117">
        <f>AJ75*AL75</f>
        <v>34568000</v>
      </c>
      <c r="AN75" s="20" t="s">
        <v>4260</v>
      </c>
    </row>
    <row r="76" spans="1:40">
      <c r="D76" s="3"/>
      <c r="E76" s="11" t="s">
        <v>304</v>
      </c>
      <c r="M76" s="122" t="s">
        <v>4510</v>
      </c>
      <c r="N76" s="96"/>
      <c r="Q76" s="35">
        <v>2010885</v>
      </c>
      <c r="R76" s="5" t="s">
        <v>4393</v>
      </c>
      <c r="S76" s="5">
        <f>S75-2</f>
        <v>108</v>
      </c>
      <c r="T76" s="5" t="s">
        <v>4399</v>
      </c>
      <c r="U76" s="168">
        <v>202.1</v>
      </c>
      <c r="V76" s="99">
        <f t="shared" si="20"/>
        <v>221.1073665753425</v>
      </c>
      <c r="W76" s="32">
        <f t="shared" si="21"/>
        <v>225.52951390684936</v>
      </c>
      <c r="X76" s="32">
        <f t="shared" si="22"/>
        <v>229.95166123835619</v>
      </c>
      <c r="Y76" s="96">
        <v>9904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147</v>
      </c>
      <c r="AM76" s="117">
        <f t="shared" si="11"/>
        <v>-24990000</v>
      </c>
      <c r="AN76" s="20"/>
    </row>
    <row r="77" spans="1:40">
      <c r="D77" s="1" t="s">
        <v>305</v>
      </c>
      <c r="E77" s="1">
        <v>70000</v>
      </c>
      <c r="M77" s="122" t="s">
        <v>4584</v>
      </c>
      <c r="N77" s="96"/>
      <c r="P77" t="s">
        <v>25</v>
      </c>
      <c r="Q77" s="35">
        <v>1994038</v>
      </c>
      <c r="R77" s="5" t="s">
        <v>4404</v>
      </c>
      <c r="S77" s="5">
        <f>S76-3</f>
        <v>105</v>
      </c>
      <c r="T77" s="5" t="s">
        <v>4420</v>
      </c>
      <c r="U77" s="168">
        <v>5560.3</v>
      </c>
      <c r="V77" s="99">
        <f t="shared" si="20"/>
        <v>6070.4460997260276</v>
      </c>
      <c r="W77" s="32">
        <f t="shared" si="21"/>
        <v>6191.8550217205484</v>
      </c>
      <c r="X77" s="32">
        <f t="shared" si="22"/>
        <v>6313.2639437150692</v>
      </c>
      <c r="Y77" s="96">
        <v>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144</v>
      </c>
      <c r="AM77" s="117">
        <f t="shared" si="11"/>
        <v>-43200000</v>
      </c>
      <c r="AN77" s="20"/>
    </row>
    <row r="78" spans="1:40" ht="45">
      <c r="D78" s="1" t="s">
        <v>321</v>
      </c>
      <c r="E78" s="1">
        <v>100000</v>
      </c>
      <c r="K78" s="216" t="s">
        <v>4800</v>
      </c>
      <c r="L78" s="22" t="s">
        <v>4766</v>
      </c>
      <c r="M78" s="210" t="s">
        <v>4740</v>
      </c>
      <c r="N78" s="96"/>
      <c r="P78" s="115"/>
      <c r="Q78" s="35">
        <v>444</v>
      </c>
      <c r="R78" s="5" t="s">
        <v>4404</v>
      </c>
      <c r="S78" s="5">
        <f>S77</f>
        <v>105</v>
      </c>
      <c r="T78" s="5" t="s">
        <v>4620</v>
      </c>
      <c r="U78" s="168">
        <v>441.8</v>
      </c>
      <c r="V78" s="99">
        <f t="shared" si="20"/>
        <v>482.33424219178085</v>
      </c>
      <c r="W78" s="32">
        <f t="shared" si="21"/>
        <v>491.98092703561645</v>
      </c>
      <c r="X78" s="32">
        <f t="shared" si="22"/>
        <v>501.6276118794521</v>
      </c>
      <c r="Y78" s="96">
        <v>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141</v>
      </c>
      <c r="AM78" s="117">
        <f t="shared" si="11"/>
        <v>-1607400000</v>
      </c>
      <c r="AN78" s="20"/>
    </row>
    <row r="79" spans="1:40">
      <c r="D79" s="1" t="s">
        <v>306</v>
      </c>
      <c r="E79" s="1">
        <v>80000</v>
      </c>
      <c r="K79" t="s">
        <v>4801</v>
      </c>
      <c r="M79" s="122"/>
      <c r="N79" s="96"/>
      <c r="P79" s="115" t="s">
        <v>25</v>
      </c>
      <c r="Q79" s="35">
        <v>1971103</v>
      </c>
      <c r="R79" s="5" t="s">
        <v>4415</v>
      </c>
      <c r="S79" s="5">
        <f>S78-1</f>
        <v>104</v>
      </c>
      <c r="T79" s="5" t="s">
        <v>4416</v>
      </c>
      <c r="U79" s="168">
        <v>196.2</v>
      </c>
      <c r="V79" s="99">
        <f t="shared" si="20"/>
        <v>214.05043726027398</v>
      </c>
      <c r="W79" s="32">
        <f t="shared" si="21"/>
        <v>218.33144600547948</v>
      </c>
      <c r="X79" s="32">
        <f t="shared" si="22"/>
        <v>222.61245475068495</v>
      </c>
      <c r="Y79" s="96">
        <v>10000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128</v>
      </c>
      <c r="AM79" s="117">
        <f>AJ79*AL79</f>
        <v>-1280000000</v>
      </c>
      <c r="AN79" s="20"/>
    </row>
    <row r="80" spans="1:40">
      <c r="D80" s="31" t="s">
        <v>307</v>
      </c>
      <c r="E80" s="1">
        <v>150000</v>
      </c>
      <c r="J80" t="s">
        <v>25</v>
      </c>
      <c r="K80" t="s">
        <v>4587</v>
      </c>
      <c r="L80" s="96"/>
      <c r="M80" s="122"/>
      <c r="O80" t="s">
        <v>25</v>
      </c>
      <c r="P80" s="115"/>
      <c r="Q80" s="35">
        <v>1049856</v>
      </c>
      <c r="R80" s="5" t="s">
        <v>4438</v>
      </c>
      <c r="S80" s="5">
        <f>S79-6</f>
        <v>98</v>
      </c>
      <c r="T80" s="5" t="s">
        <v>4477</v>
      </c>
      <c r="U80" s="168">
        <v>184.5</v>
      </c>
      <c r="V80" s="99">
        <f t="shared" si="20"/>
        <v>200.43675616438358</v>
      </c>
      <c r="W80" s="32">
        <f t="shared" si="21"/>
        <v>204.44549128767125</v>
      </c>
      <c r="X80" s="32">
        <f t="shared" si="22"/>
        <v>208.45422641095894</v>
      </c>
      <c r="Y80" s="96">
        <v>5664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127</v>
      </c>
      <c r="AM80" s="117">
        <f>AJ80*AL80</f>
        <v>-311150000</v>
      </c>
      <c r="AN80" s="20"/>
    </row>
    <row r="81" spans="4:52">
      <c r="D81" s="31" t="s">
        <v>308</v>
      </c>
      <c r="E81" s="1">
        <v>300000</v>
      </c>
      <c r="K81" t="s">
        <v>4882</v>
      </c>
      <c r="M81" s="96">
        <f>O55+O21+O31-O61</f>
        <v>1289695</v>
      </c>
      <c r="N81" s="113">
        <f>M81*P55</f>
        <v>245557928</v>
      </c>
      <c r="P81" s="115"/>
      <c r="Q81" s="35">
        <v>1783234</v>
      </c>
      <c r="R81" s="5" t="s">
        <v>4440</v>
      </c>
      <c r="S81" s="5">
        <f>S80-2</f>
        <v>96</v>
      </c>
      <c r="T81" s="5" t="s">
        <v>4441</v>
      </c>
      <c r="U81" s="168">
        <v>177.5</v>
      </c>
      <c r="V81" s="99">
        <f t="shared" si="20"/>
        <v>192.55978082191783</v>
      </c>
      <c r="W81" s="32">
        <f t="shared" si="21"/>
        <v>196.41097643835619</v>
      </c>
      <c r="X81" s="32">
        <f t="shared" si="22"/>
        <v>200.26217205479455</v>
      </c>
      <c r="Y81" s="96">
        <v>10000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19"/>
        <v>122</v>
      </c>
      <c r="AM81" s="117">
        <f t="shared" si="11"/>
        <v>-55641882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t="s">
        <v>4883</v>
      </c>
      <c r="M82" t="s">
        <v>4267</v>
      </c>
      <c r="P82" s="115"/>
      <c r="Q82" s="35">
        <v>1662335</v>
      </c>
      <c r="R82" s="5" t="s">
        <v>4444</v>
      </c>
      <c r="S82" s="5">
        <f>S81-5</f>
        <v>91</v>
      </c>
      <c r="T82" s="222" t="s">
        <v>4601</v>
      </c>
      <c r="U82" s="168">
        <v>190.3</v>
      </c>
      <c r="V82" s="99">
        <f t="shared" si="20"/>
        <v>205.71586410958909</v>
      </c>
      <c r="W82" s="32">
        <f t="shared" si="21"/>
        <v>209.83018139178088</v>
      </c>
      <c r="X82" s="32">
        <f t="shared" si="22"/>
        <v>213.94449867397267</v>
      </c>
      <c r="Y82" s="96">
        <v>8695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121</v>
      </c>
      <c r="AM82" s="117">
        <f t="shared" si="11"/>
        <v>-60500000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t="s">
        <v>4884</v>
      </c>
      <c r="M83" t="s">
        <v>4589</v>
      </c>
      <c r="N83" t="s">
        <v>25</v>
      </c>
      <c r="P83" s="115"/>
      <c r="Q83" s="169">
        <v>499973</v>
      </c>
      <c r="R83" s="168" t="s">
        <v>4591</v>
      </c>
      <c r="S83" s="168">
        <f>S82-37</f>
        <v>54</v>
      </c>
      <c r="T83" s="73" t="s">
        <v>4592</v>
      </c>
      <c r="U83" s="168">
        <v>413</v>
      </c>
      <c r="V83" s="99">
        <f t="shared" si="20"/>
        <v>434.73398356164387</v>
      </c>
      <c r="W83" s="32">
        <f t="shared" si="21"/>
        <v>443.42866323287677</v>
      </c>
      <c r="X83" s="32">
        <f t="shared" si="22"/>
        <v>452.12334290410962</v>
      </c>
      <c r="Y83" s="96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19"/>
        <v>119</v>
      </c>
      <c r="AM83" s="117">
        <f t="shared" si="11"/>
        <v>-741890030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K84" t="s">
        <v>4544</v>
      </c>
      <c r="P84" s="115"/>
      <c r="Q84" s="169">
        <v>11869317</v>
      </c>
      <c r="R84" s="168" t="s">
        <v>4602</v>
      </c>
      <c r="S84" s="168">
        <f>S83-2</f>
        <v>52</v>
      </c>
      <c r="T84" s="168" t="s">
        <v>4603</v>
      </c>
      <c r="U84" s="168">
        <v>395600</v>
      </c>
      <c r="V84" s="99">
        <f t="shared" si="20"/>
        <v>415811.36657534249</v>
      </c>
      <c r="W84" s="32">
        <f t="shared" si="21"/>
        <v>424127.59390684933</v>
      </c>
      <c r="X84" s="32">
        <f t="shared" si="22"/>
        <v>432443.82123835618</v>
      </c>
      <c r="Y84" s="96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19"/>
        <v>116</v>
      </c>
      <c r="AM84" s="117">
        <f t="shared" si="11"/>
        <v>226311012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K85" t="s">
        <v>4593</v>
      </c>
      <c r="M85" t="s">
        <v>949</v>
      </c>
      <c r="N85">
        <v>6.3E-3</v>
      </c>
      <c r="P85" s="115"/>
      <c r="Q85" s="35">
        <v>2272487</v>
      </c>
      <c r="R85" s="5" t="s">
        <v>4612</v>
      </c>
      <c r="S85" s="5">
        <f>S84-3</f>
        <v>49</v>
      </c>
      <c r="T85" s="5" t="s">
        <v>4613</v>
      </c>
      <c r="U85" s="168">
        <v>174.9</v>
      </c>
      <c r="V85" s="99">
        <f t="shared" si="20"/>
        <v>183.43320328767123</v>
      </c>
      <c r="W85" s="32">
        <f t="shared" si="21"/>
        <v>187.10186735342467</v>
      </c>
      <c r="X85" s="32">
        <f t="shared" si="22"/>
        <v>190.7705314191781</v>
      </c>
      <c r="Y85" s="96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19"/>
        <v>112</v>
      </c>
      <c r="AM85" s="117">
        <f t="shared" si="11"/>
        <v>67200000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K86" t="s">
        <v>4543</v>
      </c>
      <c r="M86" t="s">
        <v>61</v>
      </c>
      <c r="N86">
        <v>4.8999999999999998E-3</v>
      </c>
      <c r="P86" s="115"/>
      <c r="Q86" s="35">
        <v>3975257</v>
      </c>
      <c r="R86" s="5" t="s">
        <v>4618</v>
      </c>
      <c r="S86" s="5">
        <f>S85-1</f>
        <v>48</v>
      </c>
      <c r="T86" s="5" t="s">
        <v>4619</v>
      </c>
      <c r="U86" s="168">
        <v>173</v>
      </c>
      <c r="V86" s="99">
        <f t="shared" si="20"/>
        <v>181.30779178082193</v>
      </c>
      <c r="W86" s="32">
        <f t="shared" si="21"/>
        <v>184.93394761643836</v>
      </c>
      <c r="X86" s="32">
        <f t="shared" si="22"/>
        <v>188.56010345205482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19"/>
        <v>107</v>
      </c>
      <c r="AM86" s="117">
        <f t="shared" si="11"/>
        <v>802500000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K87" s="22" t="s">
        <v>4243</v>
      </c>
      <c r="M87" t="s">
        <v>6</v>
      </c>
      <c r="N87">
        <f>N85+N86</f>
        <v>1.12E-2</v>
      </c>
      <c r="O87" t="s">
        <v>25</v>
      </c>
      <c r="P87" t="s">
        <v>25</v>
      </c>
      <c r="Q87" s="35">
        <v>1031662</v>
      </c>
      <c r="R87" s="5" t="s">
        <v>4234</v>
      </c>
      <c r="S87" s="5">
        <f>S86-1</f>
        <v>47</v>
      </c>
      <c r="T87" s="5" t="s">
        <v>4622</v>
      </c>
      <c r="U87" s="168">
        <v>171.2</v>
      </c>
      <c r="V87" s="99">
        <f t="shared" si="20"/>
        <v>179.29002082191784</v>
      </c>
      <c r="W87" s="32">
        <f t="shared" si="21"/>
        <v>182.8758212383562</v>
      </c>
      <c r="X87" s="32">
        <f t="shared" si="22"/>
        <v>186.46162165479456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19"/>
        <v>105</v>
      </c>
      <c r="AM87" s="117">
        <f t="shared" si="11"/>
        <v>-61720680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K88" t="s">
        <v>4540</v>
      </c>
      <c r="Q88" s="169">
        <v>2666019</v>
      </c>
      <c r="R88" s="168" t="s">
        <v>4234</v>
      </c>
      <c r="S88" s="168">
        <f>S87</f>
        <v>47</v>
      </c>
      <c r="T88" s="168" t="s">
        <v>4624</v>
      </c>
      <c r="U88" s="168">
        <v>749</v>
      </c>
      <c r="V88" s="99">
        <f t="shared" si="20"/>
        <v>784.39384109589059</v>
      </c>
      <c r="W88" s="32">
        <f t="shared" si="21"/>
        <v>800.08171791780842</v>
      </c>
      <c r="X88" s="32">
        <f t="shared" si="22"/>
        <v>815.76959473972624</v>
      </c>
      <c r="Y88">
        <v>13000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102</v>
      </c>
      <c r="AM88" s="117">
        <f t="shared" si="11"/>
        <v>-92563878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35">
        <v>577500</v>
      </c>
      <c r="R89" s="5" t="s">
        <v>4234</v>
      </c>
      <c r="S89" s="5">
        <f>S88</f>
        <v>47</v>
      </c>
      <c r="T89" s="5" t="s">
        <v>4627</v>
      </c>
      <c r="U89" s="168">
        <v>175</v>
      </c>
      <c r="V89" s="99">
        <f t="shared" si="20"/>
        <v>183.26958904109591</v>
      </c>
      <c r="W89" s="32">
        <f t="shared" si="21"/>
        <v>186.93498082191783</v>
      </c>
      <c r="X89" s="32">
        <f t="shared" si="22"/>
        <v>190.60037260273975</v>
      </c>
      <c r="Y89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19"/>
        <v>102</v>
      </c>
      <c r="AM89" s="117">
        <f t="shared" si="11"/>
        <v>249900000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K90" t="s">
        <v>25</v>
      </c>
      <c r="Q90" s="35">
        <v>12636487</v>
      </c>
      <c r="R90" s="5" t="s">
        <v>3691</v>
      </c>
      <c r="S90" s="5">
        <f>S89-2</f>
        <v>45</v>
      </c>
      <c r="T90" s="5" t="s">
        <v>4630</v>
      </c>
      <c r="U90" s="168">
        <v>172.1</v>
      </c>
      <c r="V90" s="99">
        <f t="shared" si="20"/>
        <v>179.96850630136987</v>
      </c>
      <c r="W90" s="32">
        <f t="shared" si="21"/>
        <v>183.56787642739727</v>
      </c>
      <c r="X90" s="32">
        <f t="shared" si="22"/>
        <v>187.16724655342466</v>
      </c>
      <c r="Y90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19"/>
        <v>101</v>
      </c>
      <c r="AM90" s="117">
        <f t="shared" si="11"/>
        <v>151500000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4909</v>
      </c>
      <c r="M91" s="194" t="s">
        <v>4539</v>
      </c>
      <c r="Q91" s="169">
        <v>1210169</v>
      </c>
      <c r="R91" s="168" t="s">
        <v>4633</v>
      </c>
      <c r="S91" s="168">
        <f>S90-3</f>
        <v>42</v>
      </c>
      <c r="T91" s="168" t="s">
        <v>4634</v>
      </c>
      <c r="U91" s="168">
        <v>1204.7</v>
      </c>
      <c r="V91" s="99">
        <f t="shared" si="20"/>
        <v>1257.0070838356166</v>
      </c>
      <c r="W91" s="32">
        <f t="shared" si="21"/>
        <v>1282.147225512329</v>
      </c>
      <c r="X91" s="32">
        <f t="shared" si="22"/>
        <v>1307.2873671890413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19"/>
        <v>100</v>
      </c>
      <c r="AM91" s="117">
        <f t="shared" si="11"/>
        <v>264800000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J92">
        <v>20</v>
      </c>
      <c r="K92" t="s">
        <v>4910</v>
      </c>
      <c r="M92" t="s">
        <v>4540</v>
      </c>
      <c r="Q92" s="39">
        <v>11121445</v>
      </c>
      <c r="R92" s="5" t="s">
        <v>4633</v>
      </c>
      <c r="S92" s="5">
        <f>S91</f>
        <v>42</v>
      </c>
      <c r="T92" s="5" t="s">
        <v>4874</v>
      </c>
      <c r="U92" s="168">
        <v>171.8</v>
      </c>
      <c r="V92" s="99">
        <f t="shared" si="20"/>
        <v>179.25941479452058</v>
      </c>
      <c r="W92" s="32">
        <f t="shared" si="21"/>
        <v>182.844603090411</v>
      </c>
      <c r="X92" s="32">
        <f t="shared" si="22"/>
        <v>186.42979138630142</v>
      </c>
      <c r="Y92">
        <v>23000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99</v>
      </c>
      <c r="AM92" s="117">
        <f t="shared" si="11"/>
        <v>60885000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J93">
        <v>2</v>
      </c>
      <c r="K93" t="s">
        <v>4911</v>
      </c>
      <c r="M93" t="s">
        <v>4543</v>
      </c>
      <c r="Q93" s="35">
        <v>8978273</v>
      </c>
      <c r="R93" s="5" t="s">
        <v>4638</v>
      </c>
      <c r="S93" s="5">
        <f>S92-1</f>
        <v>41</v>
      </c>
      <c r="T93" s="5" t="s">
        <v>4639</v>
      </c>
      <c r="U93" s="168">
        <v>3405.9</v>
      </c>
      <c r="V93" s="99">
        <f t="shared" si="20"/>
        <v>3551.1686334246579</v>
      </c>
      <c r="W93" s="32">
        <f t="shared" ref="W93:W137" si="23">V93*(1+$W$19/100)</f>
        <v>3622.1920060931511</v>
      </c>
      <c r="X93" s="32">
        <f t="shared" ref="X93:X137" si="24">V93*(1+$X$19/100)</f>
        <v>3693.2153787616444</v>
      </c>
      <c r="Y93">
        <v>6000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95</v>
      </c>
      <c r="AM93" s="117">
        <f t="shared" si="11"/>
        <v>1330000000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J94">
        <v>2</v>
      </c>
      <c r="K94" t="s">
        <v>4912</v>
      </c>
      <c r="M94" t="s">
        <v>4544</v>
      </c>
      <c r="Q94" s="169">
        <v>1013762</v>
      </c>
      <c r="R94" s="168" t="s">
        <v>4638</v>
      </c>
      <c r="S94" s="168">
        <f>S93</f>
        <v>41</v>
      </c>
      <c r="T94" s="168" t="s">
        <v>4641</v>
      </c>
      <c r="U94" s="168">
        <v>217.1</v>
      </c>
      <c r="V94" s="99">
        <f t="shared" si="20"/>
        <v>226.35976109589041</v>
      </c>
      <c r="W94" s="32">
        <f t="shared" si="23"/>
        <v>230.88695631780823</v>
      </c>
      <c r="X94" s="32">
        <f t="shared" si="24"/>
        <v>235.41415153972602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93</v>
      </c>
      <c r="AM94" s="117">
        <f t="shared" si="11"/>
        <v>122109000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J95">
        <v>3</v>
      </c>
      <c r="K95" t="s">
        <v>4296</v>
      </c>
      <c r="Q95" s="169">
        <v>12953846</v>
      </c>
      <c r="R95" s="168" t="s">
        <v>4638</v>
      </c>
      <c r="S95" s="168">
        <f>S94</f>
        <v>41</v>
      </c>
      <c r="T95" s="168" t="s">
        <v>4761</v>
      </c>
      <c r="U95" s="168">
        <v>4500.5</v>
      </c>
      <c r="V95" s="99">
        <f t="shared" si="20"/>
        <v>4692.4555726027402</v>
      </c>
      <c r="W95" s="32">
        <f t="shared" si="23"/>
        <v>4786.304684054795</v>
      </c>
      <c r="X95" s="32">
        <f t="shared" si="24"/>
        <v>4880.1537955068497</v>
      </c>
      <c r="Y95">
        <v>3300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5">AL96+AK95</f>
        <v>93</v>
      </c>
      <c r="AM95" s="117">
        <f t="shared" si="11"/>
        <v>211017000</v>
      </c>
      <c r="AN95" s="99"/>
    </row>
    <row r="96" spans="4:52">
      <c r="D96" s="32" t="s">
        <v>314</v>
      </c>
      <c r="E96" s="1">
        <v>140000</v>
      </c>
      <c r="J96">
        <v>3</v>
      </c>
      <c r="K96" t="s">
        <v>4917</v>
      </c>
      <c r="Q96" s="35">
        <v>4068640</v>
      </c>
      <c r="R96" s="5" t="s">
        <v>4645</v>
      </c>
      <c r="S96" s="5">
        <f>S95-1</f>
        <v>40</v>
      </c>
      <c r="T96" s="5" t="s">
        <v>4646</v>
      </c>
      <c r="U96" s="168">
        <v>3322.3</v>
      </c>
      <c r="V96" s="99">
        <f t="shared" si="20"/>
        <v>3461.454307945206</v>
      </c>
      <c r="W96" s="32">
        <f t="shared" si="23"/>
        <v>3530.68339410411</v>
      </c>
      <c r="X96" s="32">
        <f t="shared" si="24"/>
        <v>3599.9124802630145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92</v>
      </c>
      <c r="AM96" s="117">
        <f t="shared" si="11"/>
        <v>69000000</v>
      </c>
      <c r="AN96" s="99"/>
    </row>
    <row r="97" spans="4:47">
      <c r="D97" s="2" t="s">
        <v>478</v>
      </c>
      <c r="E97" s="3">
        <v>1083333</v>
      </c>
      <c r="J97">
        <v>1</v>
      </c>
      <c r="K97" t="s">
        <v>4243</v>
      </c>
      <c r="Q97" s="35">
        <v>12656982</v>
      </c>
      <c r="R97" s="5" t="s">
        <v>4645</v>
      </c>
      <c r="S97" s="5">
        <f>S96</f>
        <v>40</v>
      </c>
      <c r="T97" s="5" t="s">
        <v>4647</v>
      </c>
      <c r="U97" s="168">
        <v>5249.9</v>
      </c>
      <c r="V97" s="99">
        <f t="shared" si="20"/>
        <v>5469.7917019178085</v>
      </c>
      <c r="W97" s="32">
        <f t="shared" si="23"/>
        <v>5579.1875359561645</v>
      </c>
      <c r="X97" s="32">
        <f t="shared" si="24"/>
        <v>5688.5833699945206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5"/>
        <v>88</v>
      </c>
      <c r="AM97" s="117">
        <f t="shared" si="11"/>
        <v>167200000</v>
      </c>
      <c r="AN97" s="99"/>
    </row>
    <row r="98" spans="4:47">
      <c r="D98" s="2"/>
      <c r="E98" s="3"/>
      <c r="H98" s="96"/>
      <c r="J98">
        <v>1</v>
      </c>
      <c r="K98" s="96" t="s">
        <v>4918</v>
      </c>
      <c r="Q98" s="169">
        <v>100905</v>
      </c>
      <c r="R98" s="168" t="s">
        <v>4648</v>
      </c>
      <c r="S98" s="168">
        <f>S97-1</f>
        <v>39</v>
      </c>
      <c r="T98" s="168" t="s">
        <v>4654</v>
      </c>
      <c r="U98" s="168">
        <v>372</v>
      </c>
      <c r="V98" s="99">
        <f t="shared" si="20"/>
        <v>387.29582465753424</v>
      </c>
      <c r="W98" s="32">
        <f t="shared" si="23"/>
        <v>395.04174115068491</v>
      </c>
      <c r="X98" s="32">
        <f t="shared" si="24"/>
        <v>402.78765764383564</v>
      </c>
      <c r="Y98" t="s">
        <v>25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5"/>
        <v>85</v>
      </c>
      <c r="AM98" s="117">
        <f t="shared" si="11"/>
        <v>544000000</v>
      </c>
      <c r="AN98" s="99"/>
    </row>
    <row r="99" spans="4:47">
      <c r="D99" s="2"/>
      <c r="E99" s="3"/>
      <c r="F99" s="96"/>
      <c r="G99" s="96"/>
      <c r="H99" s="96"/>
      <c r="I99" s="96"/>
      <c r="J99" s="96">
        <v>2</v>
      </c>
      <c r="K99" t="s">
        <v>4540</v>
      </c>
      <c r="P99" s="115"/>
      <c r="Q99" s="35">
        <v>48637534</v>
      </c>
      <c r="R99" s="5" t="s">
        <v>4648</v>
      </c>
      <c r="S99" s="5">
        <f>S98</f>
        <v>39</v>
      </c>
      <c r="T99" s="5" t="s">
        <v>4652</v>
      </c>
      <c r="U99" s="168">
        <v>5330</v>
      </c>
      <c r="V99" s="99">
        <f t="shared" si="20"/>
        <v>5549.1579178082193</v>
      </c>
      <c r="W99" s="32">
        <f t="shared" si="23"/>
        <v>5660.1410761643838</v>
      </c>
      <c r="X99" s="32">
        <f t="shared" si="24"/>
        <v>5771.1242345205483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5"/>
        <v>84</v>
      </c>
      <c r="AM99" s="117">
        <f t="shared" si="11"/>
        <v>420000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L100" s="96"/>
      <c r="M100" s="96"/>
      <c r="N100" s="96"/>
      <c r="P100" s="128"/>
      <c r="Q100" s="35">
        <v>40048573</v>
      </c>
      <c r="R100" s="5" t="s">
        <v>4648</v>
      </c>
      <c r="S100" s="5">
        <f>S99</f>
        <v>39</v>
      </c>
      <c r="T100" s="5" t="s">
        <v>4653</v>
      </c>
      <c r="U100" s="168">
        <v>498.9</v>
      </c>
      <c r="V100" s="99">
        <f t="shared" si="20"/>
        <v>519.41367452054794</v>
      </c>
      <c r="W100" s="32">
        <f t="shared" si="23"/>
        <v>529.80194801095888</v>
      </c>
      <c r="X100" s="32">
        <f t="shared" si="24"/>
        <v>540.19022150136993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5"/>
        <v>79</v>
      </c>
      <c r="AM100" s="117">
        <f t="shared" si="11"/>
        <v>-138261692</v>
      </c>
      <c r="AN100" s="99"/>
    </row>
    <row r="101" spans="4:47">
      <c r="D101" s="2" t="s">
        <v>328</v>
      </c>
      <c r="E101" s="3">
        <f>E100/30</f>
        <v>112777.76666666666</v>
      </c>
      <c r="P101" s="128"/>
      <c r="Q101" s="169">
        <v>1000495</v>
      </c>
      <c r="R101" s="168" t="s">
        <v>4664</v>
      </c>
      <c r="S101" s="168">
        <f>S100-1</f>
        <v>38</v>
      </c>
      <c r="T101" s="168" t="s">
        <v>4731</v>
      </c>
      <c r="U101" s="168">
        <v>724.8</v>
      </c>
      <c r="V101" s="99">
        <f t="shared" si="20"/>
        <v>754.04617643835616</v>
      </c>
      <c r="W101" s="32">
        <f t="shared" si="23"/>
        <v>769.12709996712329</v>
      </c>
      <c r="X101" s="32">
        <f t="shared" si="24"/>
        <v>784.20802349589042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5"/>
        <v>78</v>
      </c>
      <c r="AM101" s="117">
        <f t="shared" si="11"/>
        <v>31200000</v>
      </c>
      <c r="AN101" s="99"/>
    </row>
    <row r="102" spans="4:47">
      <c r="P102" s="115"/>
      <c r="Q102" s="35">
        <v>37856769</v>
      </c>
      <c r="R102" s="5" t="s">
        <v>4664</v>
      </c>
      <c r="S102" s="5">
        <f>S101</f>
        <v>38</v>
      </c>
      <c r="T102" s="5" t="s">
        <v>4666</v>
      </c>
      <c r="U102" s="168">
        <v>5393.6</v>
      </c>
      <c r="V102" s="99">
        <f t="shared" ref="V102:V131" si="26">U102*(1+$N$87+$Q$15*S102/36500)</f>
        <v>5611.2354542465764</v>
      </c>
      <c r="W102" s="32">
        <f t="shared" si="23"/>
        <v>5723.4601633315078</v>
      </c>
      <c r="X102" s="32">
        <f t="shared" si="24"/>
        <v>5835.6848724164392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5"/>
        <v>78</v>
      </c>
      <c r="AM102" s="117">
        <f t="shared" si="11"/>
        <v>-164222838</v>
      </c>
      <c r="AN102" s="99"/>
      <c r="AO102" t="s">
        <v>25</v>
      </c>
    </row>
    <row r="103" spans="4:47">
      <c r="F103" s="217" t="s">
        <v>4730</v>
      </c>
      <c r="G103" s="217" t="s">
        <v>941</v>
      </c>
      <c r="H103" s="217" t="s">
        <v>4709</v>
      </c>
      <c r="I103" s="217" t="s">
        <v>4708</v>
      </c>
      <c r="J103" s="32" t="s">
        <v>4545</v>
      </c>
      <c r="K103" s="217" t="s">
        <v>4697</v>
      </c>
      <c r="L103" s="32" t="s">
        <v>4699</v>
      </c>
      <c r="M103" s="32" t="s">
        <v>4667</v>
      </c>
      <c r="N103" s="217" t="s">
        <v>4668</v>
      </c>
      <c r="Q103" s="35">
        <v>155151</v>
      </c>
      <c r="R103" s="5" t="s">
        <v>4675</v>
      </c>
      <c r="S103" s="5">
        <f>S102-3</f>
        <v>35</v>
      </c>
      <c r="T103" s="5" t="s">
        <v>4677</v>
      </c>
      <c r="U103" s="168">
        <v>5325.9</v>
      </c>
      <c r="V103" s="99">
        <f t="shared" si="26"/>
        <v>5528.546847123288</v>
      </c>
      <c r="W103" s="32">
        <f t="shared" si="23"/>
        <v>5639.1177840657538</v>
      </c>
      <c r="X103" s="32">
        <f t="shared" si="24"/>
        <v>5749.6887210082195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5"/>
        <v>77</v>
      </c>
      <c r="AM103" s="117">
        <f t="shared" si="11"/>
        <v>-425626586</v>
      </c>
      <c r="AN103" s="99"/>
    </row>
    <row r="104" spans="4:47">
      <c r="F104" s="200">
        <f t="shared" ref="F104:F109" si="27">$L$115/G104</f>
        <v>24343.487394957981</v>
      </c>
      <c r="G104" s="200">
        <f>P55</f>
        <v>190.4</v>
      </c>
      <c r="H104" s="200" t="s">
        <v>4861</v>
      </c>
      <c r="I104" s="200" t="s">
        <v>4860</v>
      </c>
      <c r="J104" s="218" t="s">
        <v>4243</v>
      </c>
      <c r="K104" s="200">
        <v>60</v>
      </c>
      <c r="L104" s="219">
        <f t="shared" ref="L104:L112" si="28">K104*$L$115</f>
        <v>278100000</v>
      </c>
      <c r="M104" s="219">
        <f>N21+N31+N55</f>
        <v>258230380.80000001</v>
      </c>
      <c r="N104" s="184">
        <f t="shared" ref="N104:N112" si="29">L104-M104</f>
        <v>19869619.199999988</v>
      </c>
      <c r="Q104" s="169">
        <v>109726</v>
      </c>
      <c r="R104" s="168" t="s">
        <v>4675</v>
      </c>
      <c r="S104" s="168">
        <f>S103</f>
        <v>35</v>
      </c>
      <c r="T104" s="168" t="s">
        <v>4678</v>
      </c>
      <c r="U104" s="168">
        <v>3900.7</v>
      </c>
      <c r="V104" s="99">
        <f t="shared" si="26"/>
        <v>4049.1189632876717</v>
      </c>
      <c r="W104" s="32">
        <f t="shared" si="23"/>
        <v>4130.1013425534256</v>
      </c>
      <c r="X104" s="32">
        <f t="shared" si="24"/>
        <v>4211.0837218191791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5"/>
        <v>77</v>
      </c>
      <c r="AM104" s="117">
        <f t="shared" si="11"/>
        <v>300300000</v>
      </c>
      <c r="AN104" s="99"/>
    </row>
    <row r="105" spans="4:47">
      <c r="F105" s="217">
        <f t="shared" si="27"/>
        <v>871.37163483230563</v>
      </c>
      <c r="G105" s="217">
        <f>P47</f>
        <v>5319.2</v>
      </c>
      <c r="H105" s="217" t="s">
        <v>4713</v>
      </c>
      <c r="I105" s="217" t="s">
        <v>4712</v>
      </c>
      <c r="J105" s="32" t="s">
        <v>4395</v>
      </c>
      <c r="K105" s="217">
        <v>33</v>
      </c>
      <c r="L105" s="1">
        <f t="shared" si="28"/>
        <v>152955000</v>
      </c>
      <c r="M105" s="1">
        <f>N25+N47+N28</f>
        <v>163400504.79999998</v>
      </c>
      <c r="N105" s="113">
        <f t="shared" si="29"/>
        <v>-10445504.799999982</v>
      </c>
      <c r="Q105" s="35">
        <v>8938737</v>
      </c>
      <c r="R105" s="5" t="s">
        <v>4681</v>
      </c>
      <c r="S105" s="5">
        <f>S104-1</f>
        <v>34</v>
      </c>
      <c r="T105" s="5" t="s">
        <v>4683</v>
      </c>
      <c r="U105" s="168">
        <v>5179.5</v>
      </c>
      <c r="V105" s="99">
        <f t="shared" si="26"/>
        <v>5372.6031123287676</v>
      </c>
      <c r="W105" s="32">
        <f t="shared" si="23"/>
        <v>5480.0551745753428</v>
      </c>
      <c r="X105" s="32">
        <f t="shared" si="24"/>
        <v>5587.507236821918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5"/>
        <v>74</v>
      </c>
      <c r="AM105" s="117">
        <f t="shared" si="11"/>
        <v>-293761796</v>
      </c>
      <c r="AN105" s="99"/>
    </row>
    <row r="106" spans="4:47">
      <c r="F106" s="200">
        <f t="shared" si="27"/>
        <v>1383.4169054441261</v>
      </c>
      <c r="G106" s="200">
        <f>P44</f>
        <v>3350.4</v>
      </c>
      <c r="H106" s="200" t="s">
        <v>3881</v>
      </c>
      <c r="I106" s="200" t="s">
        <v>4714</v>
      </c>
      <c r="J106" s="218" t="s">
        <v>4391</v>
      </c>
      <c r="K106" s="200">
        <v>31</v>
      </c>
      <c r="L106" s="219">
        <f t="shared" si="28"/>
        <v>143685000</v>
      </c>
      <c r="M106" s="219">
        <f>N44+N29+N22</f>
        <v>154694668.80000001</v>
      </c>
      <c r="N106" s="184">
        <f t="shared" si="29"/>
        <v>-11009668.800000012</v>
      </c>
      <c r="Q106" s="35">
        <v>2595417</v>
      </c>
      <c r="R106" s="5" t="s">
        <v>4691</v>
      </c>
      <c r="S106" s="5">
        <f>S105-1</f>
        <v>33</v>
      </c>
      <c r="T106" s="5" t="s">
        <v>4692</v>
      </c>
      <c r="U106" s="168">
        <v>4803</v>
      </c>
      <c r="V106" s="99">
        <f t="shared" si="26"/>
        <v>4978.381873972603</v>
      </c>
      <c r="W106" s="32">
        <f t="shared" si="23"/>
        <v>5077.949511452055</v>
      </c>
      <c r="X106" s="32">
        <f t="shared" si="24"/>
        <v>5177.5171489315071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5"/>
        <v>73</v>
      </c>
      <c r="AM106" s="117">
        <f t="shared" si="11"/>
        <v>-1866935215</v>
      </c>
      <c r="AN106" s="99"/>
      <c r="AP106" t="s">
        <v>25</v>
      </c>
    </row>
    <row r="107" spans="4:47">
      <c r="F107" s="217">
        <f t="shared" si="27"/>
        <v>8361.89788922966</v>
      </c>
      <c r="G107" s="217">
        <f>P48</f>
        <v>554.29999999999995</v>
      </c>
      <c r="H107" s="217" t="s">
        <v>4711</v>
      </c>
      <c r="I107" s="217" t="s">
        <v>4710</v>
      </c>
      <c r="J107" s="32" t="s">
        <v>4410</v>
      </c>
      <c r="K107" s="217">
        <v>30</v>
      </c>
      <c r="L107" s="1">
        <f t="shared" si="28"/>
        <v>139050000</v>
      </c>
      <c r="M107" s="1">
        <f>N48+N23+N30</f>
        <v>139531167.5</v>
      </c>
      <c r="N107" s="113">
        <f t="shared" si="29"/>
        <v>-481167.5</v>
      </c>
      <c r="Q107" s="169">
        <v>2505816</v>
      </c>
      <c r="R107" s="168" t="s">
        <v>4691</v>
      </c>
      <c r="S107" s="168">
        <f>S106</f>
        <v>33</v>
      </c>
      <c r="T107" s="168" t="s">
        <v>4693</v>
      </c>
      <c r="U107" s="168">
        <v>3723</v>
      </c>
      <c r="V107" s="99">
        <f t="shared" si="26"/>
        <v>3858.9456000000005</v>
      </c>
      <c r="W107" s="32">
        <f t="shared" si="23"/>
        <v>3936.1245120000003</v>
      </c>
      <c r="X107" s="32">
        <f t="shared" si="24"/>
        <v>4013.3034240000006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5"/>
        <v>73</v>
      </c>
      <c r="AM107" s="117">
        <f t="shared" si="11"/>
        <v>292000000</v>
      </c>
      <c r="AN107" s="99"/>
    </row>
    <row r="108" spans="4:47">
      <c r="F108" s="200">
        <f t="shared" si="27"/>
        <v>940.88749949250951</v>
      </c>
      <c r="G108" s="200">
        <f>P50</f>
        <v>4926.2</v>
      </c>
      <c r="H108" s="200" t="s">
        <v>4715</v>
      </c>
      <c r="I108" s="200" t="s">
        <v>4714</v>
      </c>
      <c r="J108" s="218" t="s">
        <v>4541</v>
      </c>
      <c r="K108" s="200">
        <v>18</v>
      </c>
      <c r="L108" s="219">
        <f t="shared" si="28"/>
        <v>83430000</v>
      </c>
      <c r="M108" s="219">
        <f>N50</f>
        <v>14350020.6</v>
      </c>
      <c r="N108" s="184">
        <f t="shared" si="29"/>
        <v>69079979.400000006</v>
      </c>
      <c r="Q108" s="169">
        <v>183283</v>
      </c>
      <c r="R108" s="214" t="s">
        <v>4695</v>
      </c>
      <c r="S108" s="214">
        <f>S107-1</f>
        <v>32</v>
      </c>
      <c r="T108" s="214" t="s">
        <v>4706</v>
      </c>
      <c r="U108" s="214">
        <v>347.5</v>
      </c>
      <c r="V108" s="99">
        <f t="shared" si="26"/>
        <v>359.92241095890415</v>
      </c>
      <c r="W108" s="32">
        <f t="shared" si="23"/>
        <v>367.12085917808224</v>
      </c>
      <c r="X108" s="32">
        <f t="shared" si="24"/>
        <v>374.31930739726033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72</v>
      </c>
      <c r="AM108" s="117">
        <f t="shared" si="11"/>
        <v>-360000000</v>
      </c>
      <c r="AN108" s="99"/>
    </row>
    <row r="109" spans="4:47">
      <c r="F109" s="217">
        <f t="shared" si="27"/>
        <v>1121.9500387296671</v>
      </c>
      <c r="G109" s="217">
        <f>P49</f>
        <v>4131.2</v>
      </c>
      <c r="H109" s="217" t="s">
        <v>4716</v>
      </c>
      <c r="I109" s="217" t="s">
        <v>4717</v>
      </c>
      <c r="J109" s="32" t="s">
        <v>4542</v>
      </c>
      <c r="K109" s="217">
        <v>19</v>
      </c>
      <c r="L109" s="1">
        <f t="shared" si="28"/>
        <v>88065000</v>
      </c>
      <c r="M109" s="1">
        <f>N49+N24</f>
        <v>86759331.199999988</v>
      </c>
      <c r="N109" s="113">
        <f t="shared" si="29"/>
        <v>1305668.8000000119</v>
      </c>
      <c r="Q109" s="169">
        <v>177438</v>
      </c>
      <c r="R109" s="214" t="s">
        <v>4695</v>
      </c>
      <c r="S109" s="214">
        <f t="shared" ref="S109:S112" si="30">S108</f>
        <v>32</v>
      </c>
      <c r="T109" s="214" t="s">
        <v>4702</v>
      </c>
      <c r="U109" s="214">
        <v>207.3</v>
      </c>
      <c r="V109" s="99">
        <f t="shared" si="26"/>
        <v>214.71054904109593</v>
      </c>
      <c r="W109" s="32">
        <f t="shared" si="23"/>
        <v>219.00476002191786</v>
      </c>
      <c r="X109" s="32">
        <f t="shared" si="24"/>
        <v>223.29897100273976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5"/>
        <v>70</v>
      </c>
      <c r="AM109" s="117">
        <f t="shared" si="11"/>
        <v>700000000</v>
      </c>
      <c r="AN109" s="99"/>
    </row>
    <row r="110" spans="4:47">
      <c r="F110" s="200"/>
      <c r="G110" s="200"/>
      <c r="H110" s="233">
        <v>35433</v>
      </c>
      <c r="I110" s="200" t="s">
        <v>4712</v>
      </c>
      <c r="J110" s="218" t="s">
        <v>4623</v>
      </c>
      <c r="K110" s="200">
        <v>0.75</v>
      </c>
      <c r="L110" s="219">
        <f t="shared" si="28"/>
        <v>3476250</v>
      </c>
      <c r="M110" s="219">
        <f>N51</f>
        <v>3996870</v>
      </c>
      <c r="N110" s="113">
        <f t="shared" si="29"/>
        <v>-520620</v>
      </c>
      <c r="Q110" s="35">
        <v>559461</v>
      </c>
      <c r="R110" s="5" t="s">
        <v>4695</v>
      </c>
      <c r="S110" s="5">
        <f t="shared" si="30"/>
        <v>32</v>
      </c>
      <c r="T110" s="5" t="s">
        <v>4703</v>
      </c>
      <c r="U110" s="214">
        <v>508.1</v>
      </c>
      <c r="V110" s="99">
        <f t="shared" si="26"/>
        <v>526.2635309589042</v>
      </c>
      <c r="W110" s="32">
        <f t="shared" si="23"/>
        <v>536.78880157808226</v>
      </c>
      <c r="X110" s="32">
        <f t="shared" si="24"/>
        <v>547.31407219726043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5"/>
        <v>66</v>
      </c>
      <c r="AM110" s="117">
        <f t="shared" si="11"/>
        <v>-345967842</v>
      </c>
      <c r="AN110" s="99"/>
    </row>
    <row r="111" spans="4:47">
      <c r="F111" s="217"/>
      <c r="G111" s="217"/>
      <c r="H111" s="217" t="s">
        <v>3881</v>
      </c>
      <c r="I111" s="217" t="s">
        <v>4859</v>
      </c>
      <c r="J111" s="32" t="s">
        <v>4296</v>
      </c>
      <c r="K111" s="217">
        <v>0.25</v>
      </c>
      <c r="L111" s="1">
        <f t="shared" si="28"/>
        <v>1158750</v>
      </c>
      <c r="M111" s="1">
        <f>N52</f>
        <v>2137583.5</v>
      </c>
      <c r="N111" s="113">
        <f t="shared" si="29"/>
        <v>-978833.5</v>
      </c>
      <c r="Q111" s="35">
        <v>9376000</v>
      </c>
      <c r="R111" s="5" t="s">
        <v>4695</v>
      </c>
      <c r="S111" s="5">
        <f>S110</f>
        <v>32</v>
      </c>
      <c r="T111" s="5" t="s">
        <v>4704</v>
      </c>
      <c r="U111" s="214">
        <v>3184.1</v>
      </c>
      <c r="V111" s="99">
        <f t="shared" si="26"/>
        <v>3297.9250323287674</v>
      </c>
      <c r="W111" s="32">
        <f t="shared" si="23"/>
        <v>3363.8835329753429</v>
      </c>
      <c r="X111" s="32">
        <f t="shared" si="24"/>
        <v>3429.8420336219183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5"/>
        <v>66</v>
      </c>
      <c r="AM111" s="117">
        <f t="shared" si="11"/>
        <v>1445400000</v>
      </c>
      <c r="AN111" s="99"/>
      <c r="AP111" t="s">
        <v>25</v>
      </c>
      <c r="AR111" s="96"/>
      <c r="AS111" s="96"/>
      <c r="AT111"/>
      <c r="AU111"/>
    </row>
    <row r="112" spans="4:47">
      <c r="F112" s="200"/>
      <c r="G112" s="200"/>
      <c r="H112" s="200"/>
      <c r="I112" s="200"/>
      <c r="J112" s="218" t="s">
        <v>4680</v>
      </c>
      <c r="K112" s="200">
        <v>1</v>
      </c>
      <c r="L112" s="219">
        <f t="shared" si="28"/>
        <v>4635000</v>
      </c>
      <c r="M112" s="219">
        <f>N45+N46+N54+N53</f>
        <v>3215593.6</v>
      </c>
      <c r="N112" s="184">
        <f t="shared" si="29"/>
        <v>1419406.4</v>
      </c>
      <c r="Q112" s="169">
        <v>128675</v>
      </c>
      <c r="R112" s="214" t="s">
        <v>4695</v>
      </c>
      <c r="S112" s="214">
        <f t="shared" si="30"/>
        <v>32</v>
      </c>
      <c r="T112" s="214" t="s">
        <v>4705</v>
      </c>
      <c r="U112" s="214">
        <v>699.9</v>
      </c>
      <c r="V112" s="99">
        <f t="shared" si="26"/>
        <v>724.91998684931514</v>
      </c>
      <c r="W112" s="32">
        <f t="shared" si="23"/>
        <v>739.41838658630149</v>
      </c>
      <c r="X112" s="32">
        <f t="shared" si="24"/>
        <v>753.91678632328774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5"/>
        <v>64</v>
      </c>
      <c r="AM112" s="117">
        <f t="shared" si="11"/>
        <v>-960000000</v>
      </c>
      <c r="AN112" s="99"/>
      <c r="AO112" t="s">
        <v>25</v>
      </c>
    </row>
    <row r="113" spans="6:43">
      <c r="F113" s="217"/>
      <c r="G113" s="217"/>
      <c r="H113" s="217"/>
      <c r="I113" s="217"/>
      <c r="J113" s="32" t="s">
        <v>4831</v>
      </c>
      <c r="K113" s="217"/>
      <c r="L113" s="1"/>
      <c r="M113" s="1"/>
      <c r="N113" s="113">
        <v>50000000</v>
      </c>
      <c r="Q113" s="35">
        <v>13100555</v>
      </c>
      <c r="R113" s="5" t="s">
        <v>4718</v>
      </c>
      <c r="S113" s="5">
        <f>S112-1</f>
        <v>31</v>
      </c>
      <c r="T113" s="5" t="s">
        <v>4719</v>
      </c>
      <c r="U113" s="214">
        <v>3180.5</v>
      </c>
      <c r="V113" s="99">
        <f t="shared" si="26"/>
        <v>3291.7565041095891</v>
      </c>
      <c r="W113" s="32">
        <f t="shared" si="23"/>
        <v>3357.5916341917809</v>
      </c>
      <c r="X113" s="32">
        <f t="shared" si="24"/>
        <v>3423.4267642739728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5"/>
        <v>64</v>
      </c>
      <c r="AM113" s="117">
        <f t="shared" si="11"/>
        <v>192000000</v>
      </c>
      <c r="AN113" s="99"/>
    </row>
    <row r="114" spans="6:43">
      <c r="F114" s="200"/>
      <c r="G114" s="200"/>
      <c r="H114" s="200"/>
      <c r="I114" s="200"/>
      <c r="J114" s="218" t="s">
        <v>4878</v>
      </c>
      <c r="K114" s="200">
        <f>SUM(K104:K112)</f>
        <v>193</v>
      </c>
      <c r="L114" s="219"/>
      <c r="M114" s="219"/>
      <c r="N114" s="184"/>
      <c r="Q114" s="35">
        <v>622942</v>
      </c>
      <c r="R114" s="5" t="s">
        <v>4718</v>
      </c>
      <c r="S114" s="5">
        <f>S113</f>
        <v>31</v>
      </c>
      <c r="T114" s="5" t="s">
        <v>4720</v>
      </c>
      <c r="U114" s="214">
        <v>503.3</v>
      </c>
      <c r="V114" s="99">
        <f t="shared" si="26"/>
        <v>520.90584767123289</v>
      </c>
      <c r="W114" s="32">
        <f t="shared" si="23"/>
        <v>531.32396462465761</v>
      </c>
      <c r="X114" s="32">
        <f t="shared" si="24"/>
        <v>541.74208157808221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5"/>
        <v>63</v>
      </c>
      <c r="AM114" s="117">
        <f t="shared" si="11"/>
        <v>-132535368</v>
      </c>
      <c r="AN114" s="99"/>
    </row>
    <row r="115" spans="6:43">
      <c r="F115" s="217"/>
      <c r="G115" s="217"/>
      <c r="H115" s="217" t="s">
        <v>25</v>
      </c>
      <c r="I115" s="217"/>
      <c r="J115" s="32"/>
      <c r="K115" s="217">
        <v>24</v>
      </c>
      <c r="L115" s="39">
        <f>10*P56</f>
        <v>4635000</v>
      </c>
      <c r="M115" s="1">
        <f>K115*L115</f>
        <v>111240000</v>
      </c>
      <c r="N115" s="113">
        <f>SUM(N104:N113)-M115</f>
        <v>6998879.2000000179</v>
      </c>
      <c r="Q115" s="35">
        <v>1472140</v>
      </c>
      <c r="R115" s="5" t="s">
        <v>4725</v>
      </c>
      <c r="S115" s="5">
        <f>S114-3</f>
        <v>28</v>
      </c>
      <c r="T115" s="5" t="s">
        <v>4729</v>
      </c>
      <c r="U115" s="168">
        <v>502</v>
      </c>
      <c r="V115" s="99">
        <f t="shared" si="26"/>
        <v>518.40508493150685</v>
      </c>
      <c r="W115" s="32">
        <f t="shared" si="23"/>
        <v>528.77318663013705</v>
      </c>
      <c r="X115" s="32">
        <f t="shared" si="24"/>
        <v>539.14128832876713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5"/>
        <v>63</v>
      </c>
      <c r="AM115" s="117">
        <f t="shared" si="11"/>
        <v>13860000</v>
      </c>
      <c r="AN115" s="99"/>
      <c r="AQ115" t="s">
        <v>25</v>
      </c>
    </row>
    <row r="116" spans="6:43">
      <c r="F116" s="200"/>
      <c r="G116" s="200"/>
      <c r="H116" s="200"/>
      <c r="I116" s="200"/>
      <c r="J116" s="218"/>
      <c r="K116" s="200" t="s">
        <v>4823</v>
      </c>
      <c r="L116" s="219" t="s">
        <v>4253</v>
      </c>
      <c r="M116" s="219" t="s">
        <v>4689</v>
      </c>
      <c r="N116" s="184" t="s">
        <v>4690</v>
      </c>
      <c r="Q116" s="35">
        <v>4394591</v>
      </c>
      <c r="R116" s="5" t="s">
        <v>4732</v>
      </c>
      <c r="S116" s="5">
        <f>S115-1</f>
        <v>27</v>
      </c>
      <c r="T116" s="5" t="s">
        <v>4733</v>
      </c>
      <c r="U116" s="168">
        <v>481.7</v>
      </c>
      <c r="V116" s="99">
        <f t="shared" si="26"/>
        <v>497.07216876712334</v>
      </c>
      <c r="W116" s="32">
        <f t="shared" si="23"/>
        <v>507.01361214246583</v>
      </c>
      <c r="X116" s="32">
        <f t="shared" si="24"/>
        <v>516.95505551780832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5"/>
        <v>60</v>
      </c>
      <c r="AM116" s="117">
        <f t="shared" si="11"/>
        <v>240000000</v>
      </c>
      <c r="AN116" s="99"/>
    </row>
    <row r="117" spans="6:43">
      <c r="F117" s="217"/>
      <c r="G117" s="217"/>
      <c r="H117" s="217"/>
      <c r="I117" s="217"/>
      <c r="J117" s="32" t="s">
        <v>4698</v>
      </c>
      <c r="K117" s="217"/>
      <c r="L117" s="1"/>
      <c r="M117" s="1"/>
      <c r="N117" s="113"/>
      <c r="P117" s="114"/>
      <c r="Q117" s="117">
        <v>4085110</v>
      </c>
      <c r="R117" s="19" t="s">
        <v>4735</v>
      </c>
      <c r="S117" s="19">
        <f>S116-1</f>
        <v>26</v>
      </c>
      <c r="T117" s="19" t="s">
        <v>4736</v>
      </c>
      <c r="U117" s="217">
        <v>3115.9</v>
      </c>
      <c r="V117" s="99">
        <f t="shared" si="26"/>
        <v>3212.945345753425</v>
      </c>
      <c r="W117" s="32">
        <f t="shared" si="23"/>
        <v>3277.2042526684936</v>
      </c>
      <c r="X117" s="32">
        <f t="shared" si="24"/>
        <v>3341.4631595835622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5"/>
        <v>59</v>
      </c>
      <c r="AM117" s="117">
        <f t="shared" si="11"/>
        <v>-531000000</v>
      </c>
      <c r="AN117" s="99"/>
      <c r="AP117" t="s">
        <v>25</v>
      </c>
    </row>
    <row r="118" spans="6:43">
      <c r="M118" t="s">
        <v>25</v>
      </c>
      <c r="Q118" s="117">
        <v>205386</v>
      </c>
      <c r="R118" s="19" t="s">
        <v>4737</v>
      </c>
      <c r="S118" s="19">
        <f>S117</f>
        <v>26</v>
      </c>
      <c r="T118" s="19" t="s">
        <v>4738</v>
      </c>
      <c r="U118" s="217">
        <v>178.1</v>
      </c>
      <c r="V118" s="99">
        <f t="shared" si="26"/>
        <v>183.64696109589042</v>
      </c>
      <c r="W118" s="32">
        <f t="shared" si="23"/>
        <v>187.31990031780822</v>
      </c>
      <c r="X118" s="32">
        <f t="shared" si="24"/>
        <v>190.99283953972605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5"/>
        <v>59</v>
      </c>
      <c r="AM118" s="117">
        <f t="shared" si="11"/>
        <v>820100000</v>
      </c>
      <c r="AN118" s="99"/>
    </row>
    <row r="119" spans="6:43">
      <c r="Q119" s="117">
        <v>8398607</v>
      </c>
      <c r="R119" s="19" t="s">
        <v>4749</v>
      </c>
      <c r="S119" s="19">
        <f>S118-8</f>
        <v>18</v>
      </c>
      <c r="T119" s="19" t="s">
        <v>4751</v>
      </c>
      <c r="U119" s="217">
        <v>3120.5</v>
      </c>
      <c r="V119" s="99">
        <f t="shared" si="26"/>
        <v>3198.5381479452058</v>
      </c>
      <c r="W119" s="32">
        <f t="shared" si="23"/>
        <v>3262.5089109041101</v>
      </c>
      <c r="X119" s="32">
        <f t="shared" si="24"/>
        <v>3326.4796738630139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5"/>
        <v>57</v>
      </c>
      <c r="AM119" s="117">
        <f t="shared" si="11"/>
        <v>-463271889</v>
      </c>
      <c r="AN119" s="99"/>
      <c r="AO119" t="s">
        <v>25</v>
      </c>
    </row>
    <row r="120" spans="6:43">
      <c r="F120" s="217"/>
      <c r="G120" s="217"/>
      <c r="H120" s="217"/>
      <c r="I120" s="217"/>
      <c r="J120" s="217" t="s">
        <v>4825</v>
      </c>
      <c r="K120" s="168" t="s">
        <v>4545</v>
      </c>
      <c r="L120" s="168" t="s">
        <v>4546</v>
      </c>
      <c r="M120" s="168" t="s">
        <v>4436</v>
      </c>
      <c r="N120" s="56" t="s">
        <v>190</v>
      </c>
      <c r="Q120" s="117">
        <v>18565999</v>
      </c>
      <c r="R120" s="19" t="s">
        <v>4752</v>
      </c>
      <c r="S120" s="19">
        <f>S119-1</f>
        <v>17</v>
      </c>
      <c r="T120" s="19" t="s">
        <v>4760</v>
      </c>
      <c r="U120" s="217">
        <v>3112.4</v>
      </c>
      <c r="V120" s="99">
        <f t="shared" si="26"/>
        <v>3187.8479868493155</v>
      </c>
      <c r="W120" s="32">
        <f t="shared" si="23"/>
        <v>3251.604946586302</v>
      </c>
      <c r="X120" s="32">
        <f t="shared" si="24"/>
        <v>3315.3619063232882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56</v>
      </c>
      <c r="AM120" s="117">
        <f t="shared" si="11"/>
        <v>884382744</v>
      </c>
      <c r="AN120" s="99"/>
      <c r="AO120" t="s">
        <v>25</v>
      </c>
      <c r="AP120" t="s">
        <v>25</v>
      </c>
    </row>
    <row r="121" spans="6:43">
      <c r="F121" s="217" t="s">
        <v>4363</v>
      </c>
      <c r="G121" s="217" t="s">
        <v>941</v>
      </c>
      <c r="H121" s="217" t="s">
        <v>4545</v>
      </c>
      <c r="I121" s="217" t="s">
        <v>937</v>
      </c>
      <c r="J121" s="217" t="s">
        <v>4826</v>
      </c>
      <c r="K121" s="168" t="s">
        <v>4243</v>
      </c>
      <c r="L121" s="169">
        <v>1100000</v>
      </c>
      <c r="M121" s="169">
        <v>1637000</v>
      </c>
      <c r="N121" s="168">
        <f t="shared" ref="N121:N129" si="31">(M121-L121)*100/L121</f>
        <v>48.81818181818182</v>
      </c>
      <c r="P121" s="114"/>
      <c r="Q121" s="117">
        <v>5924703</v>
      </c>
      <c r="R121" s="19" t="s">
        <v>4763</v>
      </c>
      <c r="S121" s="19">
        <f>S120-3</f>
        <v>14</v>
      </c>
      <c r="T121" s="19" t="s">
        <v>4862</v>
      </c>
      <c r="U121" s="217">
        <v>489</v>
      </c>
      <c r="V121" s="99">
        <f t="shared" si="26"/>
        <v>499.72852602739738</v>
      </c>
      <c r="W121" s="32">
        <f t="shared" si="23"/>
        <v>509.72309654794532</v>
      </c>
      <c r="X121" s="32">
        <f t="shared" si="24"/>
        <v>519.71766706849326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53</v>
      </c>
      <c r="AM121" s="117">
        <f t="shared" ref="AM121:AM147" si="33">AJ121*AL121</f>
        <v>466400000</v>
      </c>
      <c r="AN121" s="99"/>
      <c r="AP121" t="s">
        <v>25</v>
      </c>
    </row>
    <row r="122" spans="6:43" ht="45">
      <c r="F122" s="217">
        <v>3307.5</v>
      </c>
      <c r="G122" s="217">
        <f>P44</f>
        <v>3350.4</v>
      </c>
      <c r="H122" s="217" t="s">
        <v>4391</v>
      </c>
      <c r="I122" s="217">
        <v>3761</v>
      </c>
      <c r="J122" s="1">
        <f>I122*G122</f>
        <v>12600854.4</v>
      </c>
      <c r="K122" s="5" t="s">
        <v>4540</v>
      </c>
      <c r="L122" s="169">
        <v>1100000</v>
      </c>
      <c r="M122" s="169">
        <v>4748000</v>
      </c>
      <c r="N122" s="168">
        <f t="shared" si="31"/>
        <v>331.63636363636363</v>
      </c>
      <c r="Q122" s="117">
        <v>164801</v>
      </c>
      <c r="R122" s="19" t="s">
        <v>4776</v>
      </c>
      <c r="S122" s="19">
        <f>S121-2</f>
        <v>12</v>
      </c>
      <c r="T122" s="19" t="s">
        <v>4781</v>
      </c>
      <c r="U122" s="217">
        <v>3095.1</v>
      </c>
      <c r="V122" s="99">
        <f t="shared" si="26"/>
        <v>3158.256999452055</v>
      </c>
      <c r="W122" s="32">
        <f t="shared" si="23"/>
        <v>3221.4221394410961</v>
      </c>
      <c r="X122" s="32">
        <f t="shared" si="24"/>
        <v>3284.5872794301372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53</v>
      </c>
      <c r="AM122" s="79">
        <f t="shared" si="33"/>
        <v>692795436</v>
      </c>
      <c r="AN122" s="209" t="s">
        <v>4635</v>
      </c>
      <c r="AQ122" t="s">
        <v>25</v>
      </c>
    </row>
    <row r="123" spans="6:43">
      <c r="F123" s="217">
        <v>5249.5</v>
      </c>
      <c r="G123" s="217">
        <f>P47</f>
        <v>5319.2</v>
      </c>
      <c r="H123" s="217" t="s">
        <v>4395</v>
      </c>
      <c r="I123" s="217">
        <v>7163</v>
      </c>
      <c r="J123" s="1">
        <f>I123*G123</f>
        <v>38101429.600000001</v>
      </c>
      <c r="K123" s="5" t="s">
        <v>4541</v>
      </c>
      <c r="L123" s="169">
        <v>1100000</v>
      </c>
      <c r="M123" s="169">
        <v>5137000</v>
      </c>
      <c r="N123" s="168">
        <f t="shared" si="31"/>
        <v>367</v>
      </c>
      <c r="Q123" s="117">
        <v>223613</v>
      </c>
      <c r="R123" s="19" t="s">
        <v>4776</v>
      </c>
      <c r="S123" s="19">
        <f>S122</f>
        <v>12</v>
      </c>
      <c r="T123" s="19" t="s">
        <v>4782</v>
      </c>
      <c r="U123" s="217">
        <v>4637.1000000000004</v>
      </c>
      <c r="V123" s="99">
        <f t="shared" si="26"/>
        <v>4731.7222487671243</v>
      </c>
      <c r="W123" s="32">
        <f t="shared" si="23"/>
        <v>4826.3566937424666</v>
      </c>
      <c r="X123" s="32">
        <f t="shared" si="24"/>
        <v>4920.991138717809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52</v>
      </c>
      <c r="AM123" s="90">
        <f t="shared" si="33"/>
        <v>869805924</v>
      </c>
      <c r="AN123" s="89" t="s">
        <v>4649</v>
      </c>
    </row>
    <row r="124" spans="6:43">
      <c r="F124" s="217">
        <v>519.79999999999995</v>
      </c>
      <c r="G124" s="217">
        <f>P48</f>
        <v>554.29999999999995</v>
      </c>
      <c r="H124" s="217" t="s">
        <v>4410</v>
      </c>
      <c r="I124" s="217">
        <v>0</v>
      </c>
      <c r="J124" s="1">
        <f>I124*G124</f>
        <v>0</v>
      </c>
      <c r="K124" s="19" t="s">
        <v>4391</v>
      </c>
      <c r="L124" s="169">
        <v>1100000</v>
      </c>
      <c r="M124" s="169">
        <v>4300000</v>
      </c>
      <c r="N124" s="168">
        <f t="shared" si="31"/>
        <v>290.90909090909093</v>
      </c>
      <c r="Q124" s="117">
        <v>989631</v>
      </c>
      <c r="R124" s="19" t="s">
        <v>4776</v>
      </c>
      <c r="S124" s="19">
        <f>S123</f>
        <v>12</v>
      </c>
      <c r="T124" s="19" t="s">
        <v>4783</v>
      </c>
      <c r="U124" s="217">
        <v>3863</v>
      </c>
      <c r="V124" s="99">
        <f t="shared" si="26"/>
        <v>3941.8263671232885</v>
      </c>
      <c r="W124" s="32">
        <f t="shared" si="23"/>
        <v>4020.6628944657541</v>
      </c>
      <c r="X124" s="32">
        <f t="shared" si="24"/>
        <v>4099.4994218082202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52</v>
      </c>
      <c r="AM124" s="117">
        <f t="shared" si="33"/>
        <v>624000000</v>
      </c>
      <c r="AN124" s="99" t="s">
        <v>4650</v>
      </c>
    </row>
    <row r="125" spans="6:43">
      <c r="F125" s="217">
        <v>4051</v>
      </c>
      <c r="G125" s="217">
        <f>P49</f>
        <v>4131.2</v>
      </c>
      <c r="H125" s="217" t="s">
        <v>4542</v>
      </c>
      <c r="I125" s="217">
        <v>130</v>
      </c>
      <c r="J125" s="1">
        <f>I125*G125</f>
        <v>537056</v>
      </c>
      <c r="K125" s="5" t="s">
        <v>4410</v>
      </c>
      <c r="L125" s="169">
        <v>1100000</v>
      </c>
      <c r="M125" s="169">
        <v>3191000</v>
      </c>
      <c r="N125" s="168">
        <f t="shared" si="31"/>
        <v>190.09090909090909</v>
      </c>
      <c r="Q125" s="117">
        <v>5001091</v>
      </c>
      <c r="R125" s="19" t="s">
        <v>4786</v>
      </c>
      <c r="S125" s="19">
        <f>S124-1</f>
        <v>11</v>
      </c>
      <c r="T125" s="19" t="s">
        <v>4787</v>
      </c>
      <c r="U125" s="217">
        <v>3125</v>
      </c>
      <c r="V125" s="99">
        <f t="shared" si="26"/>
        <v>3186.3698630136987</v>
      </c>
      <c r="W125" s="32">
        <f t="shared" si="23"/>
        <v>3250.0972602739726</v>
      </c>
      <c r="X125" s="32">
        <f t="shared" si="24"/>
        <v>3313.8246575342469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51</v>
      </c>
      <c r="AM125" s="90">
        <f t="shared" si="33"/>
        <v>4523581017</v>
      </c>
      <c r="AN125" s="89" t="s">
        <v>4651</v>
      </c>
      <c r="AP125" t="s">
        <v>25</v>
      </c>
    </row>
    <row r="126" spans="6:43">
      <c r="F126" s="217"/>
      <c r="G126" s="217"/>
      <c r="H126" s="217"/>
      <c r="I126" s="217"/>
      <c r="J126" s="1">
        <f>SUM(J122:J125)</f>
        <v>51239340</v>
      </c>
      <c r="K126" s="5" t="s">
        <v>4542</v>
      </c>
      <c r="L126" s="169">
        <v>1100000</v>
      </c>
      <c r="M126" s="169">
        <v>5623000</v>
      </c>
      <c r="N126" s="168">
        <f t="shared" si="31"/>
        <v>411.18181818181819</v>
      </c>
      <c r="P126" s="114"/>
      <c r="Q126" s="117">
        <v>12497226</v>
      </c>
      <c r="R126" s="19" t="s">
        <v>4824</v>
      </c>
      <c r="S126" s="19">
        <f>S125-7</f>
        <v>4</v>
      </c>
      <c r="T126" s="19" t="s">
        <v>4828</v>
      </c>
      <c r="U126" s="217">
        <v>3307.5</v>
      </c>
      <c r="V126" s="99">
        <f t="shared" si="26"/>
        <v>3354.6930410958912</v>
      </c>
      <c r="W126" s="32">
        <f t="shared" si="23"/>
        <v>3421.7869019178092</v>
      </c>
      <c r="X126" s="32">
        <f t="shared" si="24"/>
        <v>3488.8807627397268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50</v>
      </c>
      <c r="AM126" s="117">
        <f t="shared" si="33"/>
        <v>5050000</v>
      </c>
      <c r="AN126" s="99"/>
    </row>
    <row r="127" spans="6:43">
      <c r="F127" s="217"/>
      <c r="G127" s="217"/>
      <c r="H127" s="217"/>
      <c r="I127" s="217"/>
      <c r="J127" s="217" t="s">
        <v>6</v>
      </c>
      <c r="K127" s="19" t="s">
        <v>4395</v>
      </c>
      <c r="L127" s="169">
        <v>1100000</v>
      </c>
      <c r="M127" s="169">
        <v>7728000</v>
      </c>
      <c r="N127" s="168">
        <f t="shared" si="31"/>
        <v>602.5454545454545</v>
      </c>
      <c r="Q127" s="117">
        <v>24695044</v>
      </c>
      <c r="R127" s="19" t="s">
        <v>4824</v>
      </c>
      <c r="S127" s="19">
        <f>S126</f>
        <v>4</v>
      </c>
      <c r="T127" s="19" t="s">
        <v>4829</v>
      </c>
      <c r="U127" s="217">
        <v>5249.5</v>
      </c>
      <c r="V127" s="99">
        <f t="shared" si="26"/>
        <v>5324.4024547945219</v>
      </c>
      <c r="W127" s="32">
        <f t="shared" si="23"/>
        <v>5430.8905038904122</v>
      </c>
      <c r="X127" s="32">
        <f t="shared" si="24"/>
        <v>5537.3785529863026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47" si="34">AL128+AK127</f>
        <v>50</v>
      </c>
      <c r="AM127" s="189">
        <f t="shared" si="33"/>
        <v>-2410000</v>
      </c>
      <c r="AN127" s="149" t="s">
        <v>4659</v>
      </c>
      <c r="AQ127" t="s">
        <v>25</v>
      </c>
    </row>
    <row r="128" spans="6:43">
      <c r="K128" s="5" t="s">
        <v>4544</v>
      </c>
      <c r="L128" s="169">
        <v>1100000</v>
      </c>
      <c r="M128" s="169">
        <v>2904000</v>
      </c>
      <c r="N128" s="168">
        <f t="shared" si="31"/>
        <v>164</v>
      </c>
      <c r="Q128" s="117">
        <v>529210</v>
      </c>
      <c r="R128" s="19" t="s">
        <v>4824</v>
      </c>
      <c r="S128" s="19">
        <f>S127</f>
        <v>4</v>
      </c>
      <c r="T128" s="19" t="s">
        <v>4830</v>
      </c>
      <c r="U128" s="217">
        <v>4051</v>
      </c>
      <c r="V128" s="99">
        <f t="shared" si="26"/>
        <v>4108.8016657534254</v>
      </c>
      <c r="W128" s="32">
        <f t="shared" si="23"/>
        <v>4190.9776990684941</v>
      </c>
      <c r="X128" s="32">
        <f t="shared" si="24"/>
        <v>4273.1537323835628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50</v>
      </c>
      <c r="AM128" s="189">
        <f t="shared" si="33"/>
        <v>1966364650</v>
      </c>
      <c r="AN128" s="89" t="s">
        <v>4660</v>
      </c>
    </row>
    <row r="129" spans="6:44">
      <c r="K129" s="56" t="s">
        <v>1086</v>
      </c>
      <c r="L129" s="169">
        <v>1100000</v>
      </c>
      <c r="M129" s="169">
        <v>3400000</v>
      </c>
      <c r="N129" s="168">
        <f t="shared" si="31"/>
        <v>209.09090909090909</v>
      </c>
      <c r="Q129" s="117">
        <v>5416530</v>
      </c>
      <c r="R129" s="19" t="s">
        <v>4836</v>
      </c>
      <c r="S129" s="19">
        <f>S128-1</f>
        <v>3</v>
      </c>
      <c r="T129" s="19" t="s">
        <v>4899</v>
      </c>
      <c r="U129" s="217">
        <v>5235</v>
      </c>
      <c r="V129" s="99">
        <f t="shared" si="26"/>
        <v>5305.6796712328769</v>
      </c>
      <c r="W129" s="32">
        <f t="shared" si="23"/>
        <v>5411.7932646575346</v>
      </c>
      <c r="X129" s="32">
        <f t="shared" si="24"/>
        <v>5517.9068580821922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46</v>
      </c>
      <c r="AM129" s="90">
        <f t="shared" si="33"/>
        <v>402456300</v>
      </c>
      <c r="AN129" s="89" t="s">
        <v>4679</v>
      </c>
    </row>
    <row r="130" spans="6:44">
      <c r="K130" s="207" t="s">
        <v>4576</v>
      </c>
      <c r="Q130" s="117">
        <v>153812</v>
      </c>
      <c r="R130" s="19" t="s">
        <v>4868</v>
      </c>
      <c r="S130" s="19">
        <f>S129-6</f>
        <v>-3</v>
      </c>
      <c r="T130" s="19" t="s">
        <v>4869</v>
      </c>
      <c r="U130" s="217">
        <v>537.20000000000005</v>
      </c>
      <c r="V130" s="99">
        <f t="shared" si="26"/>
        <v>541.98034410958917</v>
      </c>
      <c r="W130" s="32">
        <f t="shared" si="23"/>
        <v>552.81995099178096</v>
      </c>
      <c r="X130" s="32">
        <f t="shared" si="24"/>
        <v>563.65955787397274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45</v>
      </c>
      <c r="AM130" s="117">
        <f t="shared" si="33"/>
        <v>2700000</v>
      </c>
      <c r="AN130" s="99" t="s">
        <v>4682</v>
      </c>
      <c r="AQ130" t="s">
        <v>25</v>
      </c>
    </row>
    <row r="131" spans="6:44">
      <c r="K131" s="207" t="s">
        <v>4577</v>
      </c>
      <c r="P131" s="114"/>
      <c r="Q131" s="117">
        <v>1837912</v>
      </c>
      <c r="R131" s="19" t="s">
        <v>4872</v>
      </c>
      <c r="S131" s="19">
        <f>S130-1</f>
        <v>-4</v>
      </c>
      <c r="T131" s="19" t="s">
        <v>4873</v>
      </c>
      <c r="U131" s="217">
        <v>296.60000000000002</v>
      </c>
      <c r="V131" s="99">
        <f t="shared" si="26"/>
        <v>299.0118049315069</v>
      </c>
      <c r="W131" s="32">
        <f t="shared" si="23"/>
        <v>304.99204103013705</v>
      </c>
      <c r="X131" s="32">
        <f t="shared" si="24"/>
        <v>310.97227712876719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44</v>
      </c>
      <c r="AM131" s="117">
        <f t="shared" si="33"/>
        <v>209000000</v>
      </c>
      <c r="AN131" s="20"/>
    </row>
    <row r="132" spans="6:44">
      <c r="K132" s="207" t="s">
        <v>4578</v>
      </c>
      <c r="Q132" s="117">
        <v>104025</v>
      </c>
      <c r="R132" s="19" t="s">
        <v>974</v>
      </c>
      <c r="S132" s="19">
        <f>S131-3</f>
        <v>-7</v>
      </c>
      <c r="T132" s="19" t="s">
        <v>4892</v>
      </c>
      <c r="U132" s="217">
        <v>295</v>
      </c>
      <c r="V132" s="99">
        <f t="shared" ref="V132:V134" si="35">U132*(1+$N$87+$Q$15*S132/36500)</f>
        <v>296.7198904109589</v>
      </c>
      <c r="W132" s="32">
        <f t="shared" si="23"/>
        <v>302.65428821917806</v>
      </c>
      <c r="X132" s="32">
        <f t="shared" si="24"/>
        <v>308.58868602739727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44</v>
      </c>
      <c r="AM132" s="90">
        <f t="shared" si="33"/>
        <v>576451040</v>
      </c>
      <c r="AN132" s="89" t="s">
        <v>4696</v>
      </c>
    </row>
    <row r="133" spans="6:44">
      <c r="Q133" s="117">
        <v>10926171</v>
      </c>
      <c r="R133" s="19" t="s">
        <v>4902</v>
      </c>
      <c r="S133" s="19">
        <f>S132-2</f>
        <v>-9</v>
      </c>
      <c r="T133" s="19" t="s">
        <v>4904</v>
      </c>
      <c r="U133" s="217">
        <v>5355.4</v>
      </c>
      <c r="V133" s="99">
        <f t="shared" si="35"/>
        <v>5378.4062115068491</v>
      </c>
      <c r="W133" s="32">
        <f t="shared" si="23"/>
        <v>5485.9743357369862</v>
      </c>
      <c r="X133" s="32">
        <f t="shared" si="24"/>
        <v>5593.5424599671232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43</v>
      </c>
      <c r="AM133" s="117">
        <f t="shared" si="33"/>
        <v>-42140000</v>
      </c>
      <c r="AN133" s="20"/>
    </row>
    <row r="134" spans="6:44">
      <c r="F134" t="s">
        <v>4913</v>
      </c>
      <c r="G134">
        <v>1200</v>
      </c>
      <c r="H134" t="s">
        <v>4914</v>
      </c>
      <c r="Q134" s="117">
        <v>146418</v>
      </c>
      <c r="R134" s="19" t="s">
        <v>4905</v>
      </c>
      <c r="S134" s="19">
        <f>S133-1</f>
        <v>-10</v>
      </c>
      <c r="T134" s="19" t="s">
        <v>4906</v>
      </c>
      <c r="U134" s="217">
        <v>304.89999999999998</v>
      </c>
      <c r="V134" s="99">
        <f t="shared" si="35"/>
        <v>305.97592109589044</v>
      </c>
      <c r="W134" s="32">
        <f t="shared" si="23"/>
        <v>312.09543951780825</v>
      </c>
      <c r="X134" s="32">
        <f t="shared" si="24"/>
        <v>318.21495793972605</v>
      </c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43</v>
      </c>
      <c r="AM134" s="90">
        <f t="shared" si="33"/>
        <v>571976970</v>
      </c>
      <c r="AN134" s="89" t="s">
        <v>4696</v>
      </c>
    </row>
    <row r="135" spans="6:44">
      <c r="G135">
        <v>1350</v>
      </c>
      <c r="H135" t="s">
        <v>4915</v>
      </c>
      <c r="Q135" s="117"/>
      <c r="R135" s="19"/>
      <c r="S135" s="19"/>
      <c r="T135" s="19"/>
      <c r="U135" s="217"/>
      <c r="V135" s="99"/>
      <c r="W135" s="32"/>
      <c r="X135" s="32"/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43</v>
      </c>
      <c r="AM135" s="117">
        <f t="shared" si="33"/>
        <v>17372000</v>
      </c>
      <c r="AN135" s="20" t="s">
        <v>4707</v>
      </c>
      <c r="AQ135" t="s">
        <v>25</v>
      </c>
    </row>
    <row r="136" spans="6:44">
      <c r="G136">
        <v>1050</v>
      </c>
      <c r="H136" t="s">
        <v>4916</v>
      </c>
      <c r="Q136" s="169"/>
      <c r="R136" s="168"/>
      <c r="S136" s="168"/>
      <c r="T136" s="168"/>
      <c r="U136" s="168"/>
      <c r="V136" s="99"/>
      <c r="W136" s="32"/>
      <c r="X136" s="32"/>
      <c r="AH136" s="89">
        <v>116</v>
      </c>
      <c r="AI136" s="90" t="s">
        <v>4732</v>
      </c>
      <c r="AJ136" s="90">
        <v>4291628</v>
      </c>
      <c r="AK136" s="89">
        <v>2</v>
      </c>
      <c r="AL136" s="89">
        <f t="shared" si="34"/>
        <v>38</v>
      </c>
      <c r="AM136" s="90">
        <f t="shared" si="33"/>
        <v>163081864</v>
      </c>
      <c r="AN136" s="89" t="s">
        <v>4734</v>
      </c>
    </row>
    <row r="137" spans="6:44">
      <c r="Q137" s="169"/>
      <c r="R137" s="168"/>
      <c r="S137" s="168"/>
      <c r="T137" s="168"/>
      <c r="U137" s="168"/>
      <c r="V137" s="99">
        <f>U137*(1+$N$87+$Q$15*S137/36500)</f>
        <v>0</v>
      </c>
      <c r="W137" s="32">
        <f t="shared" si="23"/>
        <v>0</v>
      </c>
      <c r="X137" s="32">
        <f t="shared" si="24"/>
        <v>0</v>
      </c>
      <c r="Y137" t="s">
        <v>25</v>
      </c>
      <c r="Z137" t="s">
        <v>25</v>
      </c>
      <c r="AH137" s="20">
        <v>117</v>
      </c>
      <c r="AI137" s="117" t="s">
        <v>4739</v>
      </c>
      <c r="AJ137" s="117">
        <v>1000</v>
      </c>
      <c r="AK137" s="20">
        <v>5</v>
      </c>
      <c r="AL137" s="20">
        <f t="shared" si="34"/>
        <v>36</v>
      </c>
      <c r="AM137" s="117">
        <f t="shared" si="33"/>
        <v>36000</v>
      </c>
      <c r="AN137" s="20"/>
    </row>
    <row r="138" spans="6:44">
      <c r="Q138" s="113">
        <f>SUM(N44:N56)-SUM(Q70:Q137)</f>
        <v>11981328.300000072</v>
      </c>
      <c r="R138" s="112"/>
      <c r="S138" s="112"/>
      <c r="T138" s="112"/>
      <c r="U138" s="168"/>
      <c r="V138" s="99" t="s">
        <v>25</v>
      </c>
      <c r="W138" s="32"/>
      <c r="X138" s="32"/>
      <c r="Y138" t="s">
        <v>25</v>
      </c>
      <c r="AH138" s="121">
        <v>118</v>
      </c>
      <c r="AI138" s="79" t="s">
        <v>4747</v>
      </c>
      <c r="AJ138" s="79">
        <v>8739459</v>
      </c>
      <c r="AK138" s="121">
        <v>2</v>
      </c>
      <c r="AL138" s="121">
        <f t="shared" si="34"/>
        <v>31</v>
      </c>
      <c r="AM138" s="79">
        <f t="shared" si="33"/>
        <v>270923229</v>
      </c>
      <c r="AN138" s="121" t="s">
        <v>4679</v>
      </c>
    </row>
    <row r="139" spans="6:44">
      <c r="Q139" s="26"/>
      <c r="R139" s="181"/>
      <c r="S139" s="181"/>
      <c r="T139" t="s">
        <v>25</v>
      </c>
      <c r="U139" s="96" t="s">
        <v>25</v>
      </c>
      <c r="V139" s="96" t="s">
        <v>25</v>
      </c>
      <c r="W139" s="96" t="s">
        <v>25</v>
      </c>
      <c r="AH139" s="121">
        <v>119</v>
      </c>
      <c r="AI139" s="79" t="s">
        <v>4749</v>
      </c>
      <c r="AJ139" s="79">
        <v>17595278</v>
      </c>
      <c r="AK139" s="121">
        <v>1</v>
      </c>
      <c r="AL139" s="121">
        <f t="shared" si="34"/>
        <v>29</v>
      </c>
      <c r="AM139" s="79">
        <f t="shared" si="33"/>
        <v>510263062</v>
      </c>
      <c r="AN139" s="121" t="s">
        <v>4753</v>
      </c>
    </row>
    <row r="140" spans="6:44">
      <c r="R140" s="32" t="s">
        <v>4580</v>
      </c>
      <c r="S140" s="32" t="s">
        <v>950</v>
      </c>
      <c r="T140" t="s">
        <v>25</v>
      </c>
      <c r="U140" s="96" t="s">
        <v>25</v>
      </c>
      <c r="V140" s="96" t="s">
        <v>25</v>
      </c>
      <c r="W140" s="96" t="s">
        <v>25</v>
      </c>
      <c r="X140" s="122" t="s">
        <v>25</v>
      </c>
      <c r="AH140" s="121">
        <v>120</v>
      </c>
      <c r="AI140" s="79" t="s">
        <v>4752</v>
      </c>
      <c r="AJ140" s="79">
        <v>13335309</v>
      </c>
      <c r="AK140" s="121">
        <v>13</v>
      </c>
      <c r="AL140" s="121">
        <f t="shared" si="34"/>
        <v>28</v>
      </c>
      <c r="AM140" s="79">
        <f t="shared" si="33"/>
        <v>373388652</v>
      </c>
      <c r="AN140" s="121" t="s">
        <v>4696</v>
      </c>
    </row>
    <row r="141" spans="6:44">
      <c r="R141" s="32">
        <v>2480</v>
      </c>
      <c r="S141" s="239">
        <v>13041741</v>
      </c>
      <c r="U141" s="96" t="s">
        <v>25</v>
      </c>
      <c r="V141" s="122" t="s">
        <v>25</v>
      </c>
      <c r="X141" t="s">
        <v>25</v>
      </c>
      <c r="AH141" s="161">
        <v>121</v>
      </c>
      <c r="AI141" s="232" t="s">
        <v>4824</v>
      </c>
      <c r="AJ141" s="232">
        <v>50000000</v>
      </c>
      <c r="AK141" s="161">
        <v>11</v>
      </c>
      <c r="AL141" s="161">
        <f t="shared" si="34"/>
        <v>15</v>
      </c>
      <c r="AM141" s="232">
        <f t="shared" si="33"/>
        <v>750000000</v>
      </c>
      <c r="AN141" s="161" t="s">
        <v>4827</v>
      </c>
      <c r="AP141" t="s">
        <v>25</v>
      </c>
      <c r="AR141" t="s">
        <v>25</v>
      </c>
    </row>
    <row r="142" spans="6:44">
      <c r="Q142" t="s">
        <v>25</v>
      </c>
      <c r="R142" s="32">
        <v>1450</v>
      </c>
      <c r="S142" s="1">
        <f>S141*R142/R141</f>
        <v>7625211.4717741935</v>
      </c>
      <c r="U142" s="96" t="s">
        <v>25</v>
      </c>
      <c r="V142" s="122" t="s">
        <v>25</v>
      </c>
      <c r="W142" s="96" t="s">
        <v>25</v>
      </c>
      <c r="X142" t="s">
        <v>25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4</v>
      </c>
      <c r="AM142" s="117">
        <f t="shared" si="33"/>
        <v>120000</v>
      </c>
      <c r="AN142" s="20"/>
    </row>
    <row r="143" spans="6:44">
      <c r="R143" s="32">
        <f>R141-R142</f>
        <v>1030</v>
      </c>
      <c r="S143" s="1">
        <f>R143*S141/R141</f>
        <v>5416529.5282258065</v>
      </c>
      <c r="V143" s="96"/>
      <c r="W143"/>
      <c r="AH143" s="20">
        <v>123</v>
      </c>
      <c r="AI143" s="117" t="s">
        <v>4905</v>
      </c>
      <c r="AJ143" s="117">
        <v>600000</v>
      </c>
      <c r="AK143" s="20">
        <v>1</v>
      </c>
      <c r="AL143" s="20">
        <f t="shared" si="34"/>
        <v>1</v>
      </c>
      <c r="AM143" s="117">
        <f t="shared" si="33"/>
        <v>600000</v>
      </c>
      <c r="AN143" s="20"/>
    </row>
    <row r="144" spans="6:44">
      <c r="V144" s="96"/>
      <c r="W144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99" t="s">
        <v>4463</v>
      </c>
      <c r="R145" s="99" t="s">
        <v>4465</v>
      </c>
      <c r="S145" s="99"/>
      <c r="T145" s="99" t="s">
        <v>4466</v>
      </c>
      <c r="U145" s="99"/>
      <c r="V145" s="99"/>
      <c r="W145" s="99" t="s">
        <v>4583</v>
      </c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Q146" s="113">
        <v>1000</v>
      </c>
      <c r="R146" s="99">
        <v>0.25</v>
      </c>
      <c r="S146" s="99"/>
      <c r="T146" s="99">
        <f>1-R146</f>
        <v>0.75</v>
      </c>
      <c r="U146" s="99"/>
      <c r="V146" s="99"/>
      <c r="W146" s="99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 s="114"/>
      <c r="Q147" s="168" t="s">
        <v>4450</v>
      </c>
      <c r="R147" s="168" t="s">
        <v>4468</v>
      </c>
      <c r="S147" s="168" t="s">
        <v>4470</v>
      </c>
      <c r="T147" s="168" t="s">
        <v>180</v>
      </c>
      <c r="U147" s="168" t="s">
        <v>4464</v>
      </c>
      <c r="V147" s="56" t="s">
        <v>4467</v>
      </c>
      <c r="W147" s="99"/>
      <c r="X147" s="115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>
        <f>260+R149</f>
        <v>1488100</v>
      </c>
      <c r="Q148" s="168" t="s">
        <v>751</v>
      </c>
      <c r="R148" s="56">
        <v>1661586</v>
      </c>
      <c r="S148" s="113">
        <f>R148*$T$215</f>
        <v>435554302.8757152</v>
      </c>
      <c r="T148" s="168" t="s">
        <v>4462</v>
      </c>
      <c r="U148" s="168">
        <f>$Q$146*$T$146*S148/$R$172</f>
        <v>388.55317442698674</v>
      </c>
      <c r="V148" s="95">
        <f>S148+U148</f>
        <v>435554691.42888963</v>
      </c>
      <c r="W148" s="99">
        <f>R148*100/U212</f>
        <v>51.807089923598241</v>
      </c>
      <c r="X148" s="221"/>
      <c r="AH148" s="99"/>
      <c r="AI148" s="99"/>
      <c r="AJ148" s="95">
        <f>SUM(AJ20:AJ147)</f>
        <v>539956086</v>
      </c>
      <c r="AK148" s="99"/>
      <c r="AL148" s="99"/>
      <c r="AM148" s="95">
        <f>SUM(AM20:AM147)</f>
        <v>57718585199</v>
      </c>
      <c r="AN148" s="95">
        <f>AM148*AN151/31</f>
        <v>31032118.048765581</v>
      </c>
    </row>
    <row r="149" spans="16:44">
      <c r="P149" s="114"/>
      <c r="Q149" s="168" t="s">
        <v>4452</v>
      </c>
      <c r="R149" s="56">
        <v>1487840</v>
      </c>
      <c r="S149" s="113">
        <f>R149*$T$215</f>
        <v>390009974.80154747</v>
      </c>
      <c r="T149" s="168" t="s">
        <v>4462</v>
      </c>
      <c r="U149" s="168">
        <f>$Q$146*$T$146*S149/$R$172+Q146*R146</f>
        <v>597.92358327492411</v>
      </c>
      <c r="V149" s="95">
        <f>S149+U149</f>
        <v>390010572.72513074</v>
      </c>
      <c r="W149" s="99">
        <f>R149*100/U212</f>
        <v>46.389811103323211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 t="s">
        <v>4451</v>
      </c>
      <c r="R150" s="56">
        <v>57830</v>
      </c>
      <c r="S150" s="113">
        <f>R150*$T$215</f>
        <v>15159074.122737318</v>
      </c>
      <c r="T150" s="168" t="s">
        <v>4462</v>
      </c>
      <c r="U150" s="168">
        <f>$Q$146*$T$146*S150/$R$172</f>
        <v>13.523242298089082</v>
      </c>
      <c r="V150" s="95">
        <f>S150+U150</f>
        <v>15159087.645979617</v>
      </c>
      <c r="W150" s="99">
        <f>R150*100/U212</f>
        <v>1.8030989730785445</v>
      </c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99"/>
      <c r="W151" s="99"/>
      <c r="X151" s="115"/>
      <c r="AH151" s="99"/>
      <c r="AI151" s="99"/>
      <c r="AJ151" s="99"/>
      <c r="AK151" s="99"/>
      <c r="AL151" s="99"/>
      <c r="AM151" s="99" t="s">
        <v>4060</v>
      </c>
      <c r="AN151" s="99">
        <v>1.6667000000000001E-2</v>
      </c>
    </row>
    <row r="152" spans="16:44">
      <c r="Q152" s="168"/>
      <c r="R152" s="56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Q153" s="168"/>
      <c r="R153" s="168"/>
      <c r="S153" s="168"/>
      <c r="T153" s="168"/>
      <c r="U153" s="168"/>
      <c r="V153" s="168"/>
      <c r="W153" s="99"/>
      <c r="X153" s="96"/>
      <c r="AH153" s="99"/>
      <c r="AI153" s="99" t="s">
        <v>4061</v>
      </c>
      <c r="AJ153" s="95">
        <f>AJ148+AN148</f>
        <v>570988204.04876554</v>
      </c>
      <c r="AK153" s="99"/>
      <c r="AL153" s="99"/>
      <c r="AM153" s="99"/>
      <c r="AN153" s="99"/>
    </row>
    <row r="154" spans="16:44">
      <c r="P154" s="114"/>
      <c r="Q154" s="99"/>
      <c r="R154" s="99"/>
      <c r="S154" s="99"/>
      <c r="T154" s="99" t="s">
        <v>25</v>
      </c>
      <c r="U154" s="99"/>
      <c r="V154" s="99"/>
      <c r="W154" s="99"/>
      <c r="X154" s="96"/>
      <c r="AI154" t="s">
        <v>4064</v>
      </c>
      <c r="AJ154" s="114">
        <f>SUM(N42:N56)</f>
        <v>584209520.30000007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44253434.300000072</v>
      </c>
      <c r="AM155" t="s">
        <v>25</v>
      </c>
    </row>
    <row r="156" spans="16:44">
      <c r="Q156" s="99"/>
      <c r="R156" s="99"/>
      <c r="S156" s="99"/>
      <c r="T156" s="99"/>
      <c r="U156" s="99"/>
      <c r="V156" s="99"/>
      <c r="W156" s="99"/>
      <c r="X156" s="96"/>
      <c r="AI156" t="s">
        <v>943</v>
      </c>
      <c r="AJ156" s="114">
        <f>AN148</f>
        <v>31032118.048765581</v>
      </c>
    </row>
    <row r="157" spans="16:44">
      <c r="P157" s="114"/>
      <c r="Q157" s="96"/>
      <c r="R157" s="96"/>
      <c r="S157" s="96"/>
      <c r="T157" s="96"/>
      <c r="V157" s="96"/>
      <c r="X157" s="115"/>
      <c r="AI157" t="s">
        <v>4065</v>
      </c>
      <c r="AJ157" s="114">
        <f>AJ154-AJ153</f>
        <v>13221316.251234531</v>
      </c>
      <c r="AN157" t="s">
        <v>25</v>
      </c>
    </row>
    <row r="158" spans="16:44">
      <c r="P158" s="114"/>
      <c r="Q158" s="96"/>
      <c r="R158" s="96"/>
      <c r="S158" s="96"/>
      <c r="T158" s="96"/>
      <c r="V158" s="96"/>
      <c r="AM158" t="s">
        <v>25</v>
      </c>
    </row>
    <row r="159" spans="16:44">
      <c r="Q159" s="96"/>
      <c r="R159" s="96"/>
      <c r="S159" s="96"/>
      <c r="T159" s="96" t="s">
        <v>25</v>
      </c>
      <c r="V159" s="96"/>
      <c r="AJ159" t="s">
        <v>25</v>
      </c>
    </row>
    <row r="160" spans="16:44">
      <c r="Q160" s="96"/>
      <c r="R160" s="96"/>
      <c r="S160" s="96"/>
      <c r="T160" s="96"/>
      <c r="V160" s="96"/>
    </row>
    <row r="161" spans="16:40">
      <c r="Q161" s="96"/>
      <c r="R161" s="96"/>
      <c r="S161" s="96"/>
      <c r="T161" s="99" t="s">
        <v>180</v>
      </c>
      <c r="U161" s="99" t="s">
        <v>4486</v>
      </c>
      <c r="V161" s="99" t="s">
        <v>4487</v>
      </c>
      <c r="W161" s="99" t="s">
        <v>4497</v>
      </c>
      <c r="X161" s="99" t="s">
        <v>8</v>
      </c>
    </row>
    <row r="162" spans="16:40">
      <c r="Q162" s="36" t="s">
        <v>4579</v>
      </c>
      <c r="R162" s="95">
        <f>SUM(N44:N56)</f>
        <v>583609491.30000007</v>
      </c>
      <c r="T162" s="113" t="s">
        <v>4462</v>
      </c>
      <c r="U162" s="56">
        <v>1000000</v>
      </c>
      <c r="V162" s="113">
        <v>239.024</v>
      </c>
      <c r="W162" s="113">
        <f t="shared" ref="W162:W208" si="36">U162*V162</f>
        <v>239024000</v>
      </c>
      <c r="X162" s="99"/>
    </row>
    <row r="163" spans="16:40">
      <c r="P163" s="114"/>
      <c r="Q163" s="99" t="s">
        <v>4453</v>
      </c>
      <c r="R163" s="95">
        <f>SUM(N21:N25)</f>
        <v>252315648.89999998</v>
      </c>
      <c r="T163" s="168" t="s">
        <v>4444</v>
      </c>
      <c r="U163" s="56">
        <v>5904</v>
      </c>
      <c r="V163" s="113">
        <v>237.148</v>
      </c>
      <c r="W163" s="113">
        <f t="shared" si="36"/>
        <v>1400121.7919999999</v>
      </c>
      <c r="X163" s="99" t="s">
        <v>751</v>
      </c>
    </row>
    <row r="164" spans="16:40">
      <c r="P164" s="114"/>
      <c r="Q164" s="99" t="s">
        <v>4454</v>
      </c>
      <c r="R164" s="95">
        <f>SUM(N28:N31)</f>
        <v>4295980.5999999996</v>
      </c>
      <c r="T164" s="168" t="s">
        <v>4232</v>
      </c>
      <c r="U164" s="168">
        <v>1000</v>
      </c>
      <c r="V164" s="113">
        <v>247.393</v>
      </c>
      <c r="W164" s="113">
        <f t="shared" si="36"/>
        <v>247393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4455</v>
      </c>
      <c r="R165" s="95">
        <f>N42</f>
        <v>600029</v>
      </c>
      <c r="T165" s="168" t="s">
        <v>4499</v>
      </c>
      <c r="U165" s="168">
        <v>8071</v>
      </c>
      <c r="V165" s="113">
        <v>247.797</v>
      </c>
      <c r="W165" s="113">
        <f t="shared" si="36"/>
        <v>1999969.5870000001</v>
      </c>
      <c r="X165" s="99" t="s">
        <v>4451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229</v>
      </c>
      <c r="AM165" s="99">
        <f>AJ165*AL165</f>
        <v>814282780</v>
      </c>
      <c r="AN165" s="99" t="s">
        <v>4313</v>
      </c>
    </row>
    <row r="166" spans="16:40">
      <c r="Q166" s="99" t="s">
        <v>4456</v>
      </c>
      <c r="R166" s="95">
        <f>N20</f>
        <v>665357</v>
      </c>
      <c r="T166" s="168" t="s">
        <v>4499</v>
      </c>
      <c r="U166" s="168">
        <v>53672</v>
      </c>
      <c r="V166" s="113">
        <v>247.797</v>
      </c>
      <c r="W166" s="113">
        <f t="shared" si="36"/>
        <v>13299760.584000001</v>
      </c>
      <c r="X166" s="99" t="s">
        <v>452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7">AK166+AL167</f>
        <v>227</v>
      </c>
      <c r="AM166" s="99">
        <f t="shared" ref="AM166:AM194" si="38">AJ166*AL166</f>
        <v>390629999</v>
      </c>
      <c r="AN166" s="99" t="s">
        <v>4314</v>
      </c>
    </row>
    <row r="167" spans="16:40">
      <c r="Q167" s="99" t="s">
        <v>4457</v>
      </c>
      <c r="R167" s="95">
        <f>N27</f>
        <v>667881</v>
      </c>
      <c r="T167" s="168" t="s">
        <v>4509</v>
      </c>
      <c r="U167" s="168">
        <v>4099</v>
      </c>
      <c r="V167" s="113">
        <v>243.93</v>
      </c>
      <c r="W167" s="113">
        <f t="shared" si="36"/>
        <v>999869.07000000007</v>
      </c>
      <c r="X167" s="99" t="s">
        <v>4451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7"/>
        <v>176</v>
      </c>
      <c r="AM167" s="99">
        <f t="shared" si="38"/>
        <v>26400000</v>
      </c>
      <c r="AN167" s="99"/>
    </row>
    <row r="168" spans="16:40">
      <c r="P168" s="114"/>
      <c r="Q168" s="99" t="s">
        <v>4469</v>
      </c>
      <c r="R168" s="95">
        <v>0</v>
      </c>
      <c r="T168" s="168" t="s">
        <v>4509</v>
      </c>
      <c r="U168" s="168">
        <v>9301</v>
      </c>
      <c r="V168" s="113">
        <v>243.93</v>
      </c>
      <c r="W168" s="113">
        <f t="shared" si="36"/>
        <v>2268792.9300000002</v>
      </c>
      <c r="X168" s="99" t="s">
        <v>452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7"/>
        <v>173</v>
      </c>
      <c r="AM168" s="99">
        <f t="shared" si="38"/>
        <v>-16435000</v>
      </c>
      <c r="AN168" s="99"/>
    </row>
    <row r="169" spans="16:40">
      <c r="Q169" s="99" t="s">
        <v>4919</v>
      </c>
      <c r="R169" s="95">
        <v>-1930000</v>
      </c>
      <c r="T169" s="168" t="s">
        <v>4515</v>
      </c>
      <c r="U169" s="168">
        <v>8334</v>
      </c>
      <c r="V169" s="113">
        <v>239.97</v>
      </c>
      <c r="W169" s="113">
        <f t="shared" si="36"/>
        <v>1999909.98</v>
      </c>
      <c r="X169" s="99" t="s">
        <v>4451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7"/>
        <v>165</v>
      </c>
      <c r="AM169" s="99">
        <f t="shared" si="38"/>
        <v>519750000</v>
      </c>
      <c r="AN169" s="99"/>
    </row>
    <row r="170" spans="16:40">
      <c r="P170" s="114"/>
      <c r="Q170" s="99" t="s">
        <v>4748</v>
      </c>
      <c r="R170" s="95">
        <v>500000</v>
      </c>
      <c r="T170" s="168" t="s">
        <v>4231</v>
      </c>
      <c r="U170" s="168">
        <v>29041</v>
      </c>
      <c r="V170" s="113">
        <v>233.45</v>
      </c>
      <c r="W170" s="113">
        <f t="shared" si="36"/>
        <v>6779621.4499999993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7"/>
        <v>149</v>
      </c>
      <c r="AM170" s="99">
        <f t="shared" si="38"/>
        <v>-9685000</v>
      </c>
      <c r="AN170" s="99"/>
    </row>
    <row r="171" spans="16:40">
      <c r="P171" s="114"/>
      <c r="Q171" s="99" t="s">
        <v>4728</v>
      </c>
      <c r="R171" s="95">
        <v>-1036</v>
      </c>
      <c r="S171" s="115"/>
      <c r="T171" s="168" t="s">
        <v>994</v>
      </c>
      <c r="U171" s="168">
        <v>12337</v>
      </c>
      <c r="V171" s="113">
        <v>243.16300000000001</v>
      </c>
      <c r="W171" s="113">
        <f t="shared" si="36"/>
        <v>2999901.9310000003</v>
      </c>
      <c r="X171" s="99" t="s">
        <v>4451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7"/>
        <v>148</v>
      </c>
      <c r="AM171" s="99">
        <f t="shared" si="38"/>
        <v>-14060000</v>
      </c>
      <c r="AN171" s="99"/>
    </row>
    <row r="172" spans="16:40">
      <c r="Q172" s="99" t="s">
        <v>4461</v>
      </c>
      <c r="R172" s="95">
        <f>SUM(R162:R171)</f>
        <v>840723351.80000007</v>
      </c>
      <c r="S172" s="122"/>
      <c r="T172" s="168" t="s">
        <v>4602</v>
      </c>
      <c r="U172" s="168">
        <v>-16118</v>
      </c>
      <c r="V172" s="113">
        <v>248.17</v>
      </c>
      <c r="W172" s="113">
        <f t="shared" si="36"/>
        <v>-4000004.0599999996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7"/>
        <v>142</v>
      </c>
      <c r="AM172" s="99">
        <f t="shared" si="38"/>
        <v>32944000</v>
      </c>
      <c r="AN172" s="99"/>
    </row>
    <row r="173" spans="16:40">
      <c r="Q173" s="96"/>
      <c r="S173" s="115"/>
      <c r="T173" s="168" t="s">
        <v>4633</v>
      </c>
      <c r="U173" s="168">
        <v>101681</v>
      </c>
      <c r="V173" s="113">
        <v>246.5711</v>
      </c>
      <c r="W173" s="113">
        <f t="shared" si="36"/>
        <v>25071596.019099999</v>
      </c>
      <c r="X173" s="99" t="s">
        <v>452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7"/>
        <v>135</v>
      </c>
      <c r="AM173" s="99">
        <f t="shared" si="38"/>
        <v>1755000000</v>
      </c>
      <c r="AN173" s="99"/>
    </row>
    <row r="174" spans="16:40">
      <c r="Q174" s="96"/>
      <c r="R174" s="182"/>
      <c r="S174" s="115"/>
      <c r="T174" s="168" t="s">
        <v>4638</v>
      </c>
      <c r="U174" s="168">
        <v>66606</v>
      </c>
      <c r="V174" s="113">
        <v>251.131</v>
      </c>
      <c r="W174" s="113">
        <f t="shared" si="36"/>
        <v>16726831.386</v>
      </c>
      <c r="X174" s="99" t="s">
        <v>751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7"/>
        <v>133</v>
      </c>
      <c r="AM174" s="99">
        <f t="shared" si="38"/>
        <v>1330000000</v>
      </c>
      <c r="AN174" s="99"/>
    </row>
    <row r="175" spans="16:40">
      <c r="Q175" s="96"/>
      <c r="R175" s="182"/>
      <c r="T175" s="168" t="s">
        <v>4645</v>
      </c>
      <c r="U175" s="168">
        <v>172025</v>
      </c>
      <c r="V175" s="113">
        <v>245.52809999999999</v>
      </c>
      <c r="W175" s="113">
        <f t="shared" si="36"/>
        <v>42236971.402499996</v>
      </c>
      <c r="X175" s="99" t="s">
        <v>452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7"/>
        <v>130</v>
      </c>
      <c r="AM175" s="99">
        <f t="shared" si="38"/>
        <v>442000000</v>
      </c>
      <c r="AN175" s="99"/>
    </row>
    <row r="176" spans="16:40">
      <c r="Q176" s="96"/>
      <c r="R176" s="115"/>
      <c r="T176" s="168" t="s">
        <v>4645</v>
      </c>
      <c r="U176" s="168">
        <v>189227</v>
      </c>
      <c r="V176" s="113">
        <v>245.52809999999999</v>
      </c>
      <c r="W176" s="113">
        <f t="shared" si="36"/>
        <v>46460545.778700002</v>
      </c>
      <c r="X176" s="99" t="s">
        <v>751</v>
      </c>
      <c r="AH176" s="99">
        <v>12</v>
      </c>
      <c r="AI176" s="99" t="s">
        <v>4347</v>
      </c>
      <c r="AJ176" s="117">
        <v>-8736514</v>
      </c>
      <c r="AK176" s="99">
        <v>1</v>
      </c>
      <c r="AL176" s="99">
        <f>AK176+AL177</f>
        <v>121</v>
      </c>
      <c r="AM176" s="99">
        <f t="shared" si="38"/>
        <v>-1057118194</v>
      </c>
      <c r="AN176" s="99"/>
    </row>
    <row r="177" spans="17:44">
      <c r="T177" s="168" t="s">
        <v>4648</v>
      </c>
      <c r="U177" s="168">
        <v>79720</v>
      </c>
      <c r="V177" s="113">
        <v>246.6568</v>
      </c>
      <c r="W177" s="113">
        <f t="shared" si="36"/>
        <v>19663480.096000001</v>
      </c>
      <c r="X177" s="99" t="s">
        <v>452</v>
      </c>
      <c r="AH177" s="99">
        <v>13</v>
      </c>
      <c r="AI177" s="99" t="s">
        <v>4348</v>
      </c>
      <c r="AJ177" s="117">
        <v>555000</v>
      </c>
      <c r="AK177" s="99">
        <v>5</v>
      </c>
      <c r="AL177" s="99">
        <f t="shared" ref="AL177:AL193" si="39">AK177+AL178</f>
        <v>120</v>
      </c>
      <c r="AM177" s="99">
        <f t="shared" si="38"/>
        <v>66600000</v>
      </c>
      <c r="AN177" s="99"/>
    </row>
    <row r="178" spans="17:44">
      <c r="Q178" s="99" t="s">
        <v>4451</v>
      </c>
      <c r="R178" s="99"/>
      <c r="T178" s="168" t="s">
        <v>4648</v>
      </c>
      <c r="U178" s="168">
        <v>79720</v>
      </c>
      <c r="V178" s="113">
        <v>246.6568</v>
      </c>
      <c r="W178" s="113">
        <f t="shared" si="36"/>
        <v>19663480.096000001</v>
      </c>
      <c r="X178" s="99" t="s">
        <v>751</v>
      </c>
      <c r="AH178" s="99">
        <v>14</v>
      </c>
      <c r="AI178" s="99" t="s">
        <v>4372</v>
      </c>
      <c r="AJ178" s="117">
        <v>-448308</v>
      </c>
      <c r="AK178" s="99">
        <v>6</v>
      </c>
      <c r="AL178" s="99">
        <f t="shared" si="39"/>
        <v>115</v>
      </c>
      <c r="AM178" s="99">
        <f t="shared" si="38"/>
        <v>-51555420</v>
      </c>
      <c r="AN178" s="99"/>
    </row>
    <row r="179" spans="17:44">
      <c r="Q179" s="36" t="s">
        <v>180</v>
      </c>
      <c r="R179" s="99" t="s">
        <v>267</v>
      </c>
      <c r="T179" s="168" t="s">
        <v>4675</v>
      </c>
      <c r="U179" s="168">
        <v>17769</v>
      </c>
      <c r="V179" s="113">
        <v>246.17877999999999</v>
      </c>
      <c r="W179" s="113">
        <f t="shared" si="36"/>
        <v>4374350.7418200001</v>
      </c>
      <c r="X179" s="99" t="s">
        <v>751</v>
      </c>
      <c r="AH179" s="99">
        <v>15</v>
      </c>
      <c r="AI179" s="99" t="s">
        <v>4404</v>
      </c>
      <c r="AJ179" s="117">
        <v>33225</v>
      </c>
      <c r="AK179" s="99">
        <v>0</v>
      </c>
      <c r="AL179" s="99">
        <f t="shared" si="39"/>
        <v>109</v>
      </c>
      <c r="AM179" s="99">
        <f t="shared" si="38"/>
        <v>3621525</v>
      </c>
      <c r="AN179" s="99"/>
    </row>
    <row r="180" spans="17:44">
      <c r="Q180" s="99" t="s">
        <v>4444</v>
      </c>
      <c r="R180" s="95">
        <v>3000000</v>
      </c>
      <c r="T180" s="168" t="s">
        <v>4675</v>
      </c>
      <c r="U180" s="168">
        <v>17769</v>
      </c>
      <c r="V180" s="113">
        <v>246.17877999999999</v>
      </c>
      <c r="W180" s="113">
        <f t="shared" si="36"/>
        <v>4374350.7418200001</v>
      </c>
      <c r="X180" s="99" t="s">
        <v>452</v>
      </c>
      <c r="AH180" s="149">
        <v>16</v>
      </c>
      <c r="AI180" s="149" t="s">
        <v>4404</v>
      </c>
      <c r="AJ180" s="189">
        <v>4098523</v>
      </c>
      <c r="AK180" s="149">
        <v>2</v>
      </c>
      <c r="AL180" s="149">
        <f t="shared" si="39"/>
        <v>109</v>
      </c>
      <c r="AM180" s="149">
        <f t="shared" si="38"/>
        <v>446739007</v>
      </c>
      <c r="AN180" s="149" t="s">
        <v>657</v>
      </c>
      <c r="AR180" t="s">
        <v>25</v>
      </c>
    </row>
    <row r="181" spans="17:44">
      <c r="Q181" s="99" t="s">
        <v>4499</v>
      </c>
      <c r="R181" s="95">
        <v>2000000</v>
      </c>
      <c r="T181" s="168" t="s">
        <v>4681</v>
      </c>
      <c r="U181" s="168">
        <v>12438</v>
      </c>
      <c r="V181" s="113">
        <v>241.20465999999999</v>
      </c>
      <c r="W181" s="113">
        <f t="shared" si="36"/>
        <v>3000103.5610799999</v>
      </c>
      <c r="X181" s="99" t="s">
        <v>4451</v>
      </c>
      <c r="AH181" s="149">
        <v>17</v>
      </c>
      <c r="AI181" s="149" t="s">
        <v>4417</v>
      </c>
      <c r="AJ181" s="189">
        <v>-1000000</v>
      </c>
      <c r="AK181" s="149">
        <v>7</v>
      </c>
      <c r="AL181" s="149">
        <f t="shared" si="39"/>
        <v>107</v>
      </c>
      <c r="AM181" s="149">
        <f t="shared" si="38"/>
        <v>-107000000</v>
      </c>
      <c r="AN181" s="149" t="s">
        <v>657</v>
      </c>
    </row>
    <row r="182" spans="17:44">
      <c r="Q182" s="99" t="s">
        <v>4509</v>
      </c>
      <c r="R182" s="95">
        <v>1000000</v>
      </c>
      <c r="T182" s="168" t="s">
        <v>4691</v>
      </c>
      <c r="U182" s="168">
        <v>27363</v>
      </c>
      <c r="V182" s="113">
        <v>239.3886</v>
      </c>
      <c r="W182" s="113">
        <f t="shared" si="36"/>
        <v>6550390.2617999995</v>
      </c>
      <c r="X182" s="99" t="s">
        <v>751</v>
      </c>
      <c r="AH182" s="149">
        <v>18</v>
      </c>
      <c r="AI182" s="149" t="s">
        <v>4440</v>
      </c>
      <c r="AJ182" s="189">
        <v>750000</v>
      </c>
      <c r="AK182" s="149">
        <v>1</v>
      </c>
      <c r="AL182" s="149">
        <f t="shared" si="39"/>
        <v>100</v>
      </c>
      <c r="AM182" s="149">
        <f t="shared" si="38"/>
        <v>75000000</v>
      </c>
      <c r="AN182" s="149" t="s">
        <v>657</v>
      </c>
    </row>
    <row r="183" spans="17:44">
      <c r="Q183" s="99" t="s">
        <v>4515</v>
      </c>
      <c r="R183" s="95">
        <v>2000000</v>
      </c>
      <c r="T183" s="168" t="s">
        <v>4691</v>
      </c>
      <c r="U183" s="168">
        <v>27363</v>
      </c>
      <c r="V183" s="113">
        <v>239.3886</v>
      </c>
      <c r="W183" s="113">
        <f t="shared" si="36"/>
        <v>6550390.2617999995</v>
      </c>
      <c r="X183" s="99" t="s">
        <v>452</v>
      </c>
      <c r="AH183" s="196">
        <v>19</v>
      </c>
      <c r="AI183" s="196" t="s">
        <v>4442</v>
      </c>
      <c r="AJ183" s="197">
        <v>-604152</v>
      </c>
      <c r="AK183" s="196">
        <v>0</v>
      </c>
      <c r="AL183" s="196">
        <f t="shared" si="39"/>
        <v>99</v>
      </c>
      <c r="AM183" s="196">
        <f t="shared" si="38"/>
        <v>-59811048</v>
      </c>
      <c r="AN183" s="196" t="s">
        <v>657</v>
      </c>
    </row>
    <row r="184" spans="17:44">
      <c r="Q184" s="99" t="s">
        <v>994</v>
      </c>
      <c r="R184" s="95">
        <v>3000000</v>
      </c>
      <c r="T184" s="214" t="s">
        <v>4695</v>
      </c>
      <c r="U184" s="214">
        <v>27437</v>
      </c>
      <c r="V184" s="113">
        <v>242.4015</v>
      </c>
      <c r="W184" s="113">
        <f t="shared" si="36"/>
        <v>6650769.9555000002</v>
      </c>
      <c r="X184" s="99" t="s">
        <v>751</v>
      </c>
      <c r="AH184" s="99">
        <v>20</v>
      </c>
      <c r="AI184" s="99" t="s">
        <v>4443</v>
      </c>
      <c r="AJ184" s="117">
        <v>-587083</v>
      </c>
      <c r="AK184" s="99">
        <v>4</v>
      </c>
      <c r="AL184" s="99">
        <f t="shared" si="39"/>
        <v>99</v>
      </c>
      <c r="AM184" s="99">
        <f t="shared" si="38"/>
        <v>-58121217</v>
      </c>
      <c r="AN184" s="99"/>
    </row>
    <row r="185" spans="17:44">
      <c r="Q185" s="99" t="s">
        <v>4681</v>
      </c>
      <c r="R185" s="95">
        <v>3000000</v>
      </c>
      <c r="T185" s="214" t="s">
        <v>4695</v>
      </c>
      <c r="U185" s="214">
        <v>29104</v>
      </c>
      <c r="V185" s="113">
        <v>242.4015</v>
      </c>
      <c r="W185" s="113">
        <f t="shared" si="36"/>
        <v>7054853.2560000001</v>
      </c>
      <c r="X185" s="99" t="s">
        <v>452</v>
      </c>
      <c r="Y185" t="s">
        <v>25</v>
      </c>
      <c r="AH185" s="196">
        <v>21</v>
      </c>
      <c r="AI185" s="196" t="s">
        <v>4444</v>
      </c>
      <c r="AJ185" s="197">
        <v>-754351</v>
      </c>
      <c r="AK185" s="196">
        <v>0</v>
      </c>
      <c r="AL185" s="149">
        <f t="shared" si="39"/>
        <v>95</v>
      </c>
      <c r="AM185" s="196">
        <f t="shared" si="38"/>
        <v>-71663345</v>
      </c>
      <c r="AN185" s="196" t="s">
        <v>657</v>
      </c>
    </row>
    <row r="186" spans="17:44">
      <c r="Q186" s="99"/>
      <c r="R186" s="95"/>
      <c r="T186" s="217" t="s">
        <v>4732</v>
      </c>
      <c r="U186" s="217">
        <v>8991</v>
      </c>
      <c r="V186" s="113">
        <v>238.64867000000001</v>
      </c>
      <c r="W186" s="113">
        <f t="shared" si="36"/>
        <v>2145690.19197</v>
      </c>
      <c r="X186" s="99" t="s">
        <v>751</v>
      </c>
      <c r="AH186" s="99">
        <v>22</v>
      </c>
      <c r="AI186" s="99" t="s">
        <v>4444</v>
      </c>
      <c r="AJ186" s="117">
        <v>-189619</v>
      </c>
      <c r="AK186" s="99">
        <v>15</v>
      </c>
      <c r="AL186" s="99">
        <f t="shared" si="39"/>
        <v>95</v>
      </c>
      <c r="AM186" s="99">
        <f t="shared" si="38"/>
        <v>-18013805</v>
      </c>
      <c r="AN186" s="99"/>
    </row>
    <row r="187" spans="17:44">
      <c r="Q187" s="99"/>
      <c r="R187" s="95"/>
      <c r="T187" s="217" t="s">
        <v>4732</v>
      </c>
      <c r="U187" s="217">
        <v>8991</v>
      </c>
      <c r="V187" s="113">
        <v>238.64867000000001</v>
      </c>
      <c r="W187" s="113">
        <f t="shared" si="36"/>
        <v>2145690.19197</v>
      </c>
      <c r="X187" s="99" t="s">
        <v>452</v>
      </c>
      <c r="Z187" t="s">
        <v>25</v>
      </c>
      <c r="AH187" s="196">
        <v>23</v>
      </c>
      <c r="AI187" s="196" t="s">
        <v>4519</v>
      </c>
      <c r="AJ187" s="189">
        <v>7100</v>
      </c>
      <c r="AK187" s="196">
        <v>0</v>
      </c>
      <c r="AL187" s="149">
        <f t="shared" si="39"/>
        <v>80</v>
      </c>
      <c r="AM187" s="196">
        <f t="shared" si="38"/>
        <v>568000</v>
      </c>
      <c r="AN187" s="196" t="s">
        <v>657</v>
      </c>
    </row>
    <row r="188" spans="17:44">
      <c r="Q188" s="99"/>
      <c r="R188" s="95">
        <f>SUM(R180:R186)</f>
        <v>14000000</v>
      </c>
      <c r="T188" s="217" t="s">
        <v>4747</v>
      </c>
      <c r="U188" s="217">
        <v>18170</v>
      </c>
      <c r="V188" s="113">
        <v>240.48475999999999</v>
      </c>
      <c r="W188" s="113">
        <f t="shared" si="36"/>
        <v>4369608.0892000003</v>
      </c>
      <c r="X188" s="99" t="s">
        <v>751</v>
      </c>
      <c r="AH188" s="20">
        <v>24</v>
      </c>
      <c r="AI188" s="20" t="s">
        <v>4519</v>
      </c>
      <c r="AJ188" s="117">
        <v>-147902</v>
      </c>
      <c r="AK188" s="20">
        <v>3</v>
      </c>
      <c r="AL188" s="99">
        <f t="shared" si="39"/>
        <v>80</v>
      </c>
      <c r="AM188" s="20">
        <f t="shared" si="38"/>
        <v>-11832160</v>
      </c>
      <c r="AN188" s="20"/>
    </row>
    <row r="189" spans="17:44">
      <c r="Q189" s="99"/>
      <c r="R189" s="99" t="s">
        <v>6</v>
      </c>
      <c r="S189" t="s">
        <v>25</v>
      </c>
      <c r="T189" s="217" t="s">
        <v>4747</v>
      </c>
      <c r="U189" s="217">
        <v>18170</v>
      </c>
      <c r="V189" s="113">
        <v>240.48475999999999</v>
      </c>
      <c r="W189" s="113">
        <f t="shared" si="36"/>
        <v>4369608.0892000003</v>
      </c>
      <c r="X189" s="99" t="s">
        <v>452</v>
      </c>
      <c r="AH189" s="149">
        <v>25</v>
      </c>
      <c r="AI189" s="149" t="s">
        <v>4527</v>
      </c>
      <c r="AJ189" s="189">
        <v>-37200</v>
      </c>
      <c r="AK189" s="149">
        <v>4</v>
      </c>
      <c r="AL189" s="149">
        <f t="shared" si="39"/>
        <v>77</v>
      </c>
      <c r="AM189" s="196">
        <f t="shared" si="38"/>
        <v>-2864400</v>
      </c>
      <c r="AN189" s="149" t="s">
        <v>657</v>
      </c>
    </row>
    <row r="190" spans="17:44">
      <c r="T190" s="217" t="s">
        <v>4752</v>
      </c>
      <c r="U190" s="217">
        <v>36797</v>
      </c>
      <c r="V190" s="113">
        <v>239.0822</v>
      </c>
      <c r="W190" s="113">
        <f t="shared" si="36"/>
        <v>8797507.7134000007</v>
      </c>
      <c r="X190" s="99" t="s">
        <v>751</v>
      </c>
      <c r="AH190" s="99">
        <v>26</v>
      </c>
      <c r="AI190" s="99" t="s">
        <v>4559</v>
      </c>
      <c r="AJ190" s="117">
        <v>-372326</v>
      </c>
      <c r="AK190" s="99">
        <v>21</v>
      </c>
      <c r="AL190" s="99">
        <f t="shared" si="39"/>
        <v>73</v>
      </c>
      <c r="AM190" s="20">
        <f t="shared" si="38"/>
        <v>-27179798</v>
      </c>
      <c r="AN190" s="99"/>
    </row>
    <row r="191" spans="17:44">
      <c r="Q191" s="96"/>
      <c r="R191" s="96"/>
      <c r="T191" s="217" t="s">
        <v>4752</v>
      </c>
      <c r="U191" s="217">
        <v>36797</v>
      </c>
      <c r="V191" s="113">
        <v>239.0822</v>
      </c>
      <c r="W191" s="113">
        <f t="shared" si="36"/>
        <v>8797507.7134000007</v>
      </c>
      <c r="X191" s="99" t="s">
        <v>452</v>
      </c>
      <c r="Y191" t="s">
        <v>25</v>
      </c>
      <c r="AH191" s="99">
        <v>27</v>
      </c>
      <c r="AI191" s="99" t="s">
        <v>4618</v>
      </c>
      <c r="AJ191" s="117">
        <v>235062</v>
      </c>
      <c r="AK191" s="99">
        <v>0</v>
      </c>
      <c r="AL191" s="99">
        <f t="shared" si="39"/>
        <v>52</v>
      </c>
      <c r="AM191" s="20">
        <f t="shared" si="38"/>
        <v>12223224</v>
      </c>
      <c r="AN191" s="99"/>
    </row>
    <row r="192" spans="17:44">
      <c r="Q192" s="96"/>
      <c r="R192" s="96"/>
      <c r="T192" s="217" t="s">
        <v>4763</v>
      </c>
      <c r="U192" s="217">
        <v>28066</v>
      </c>
      <c r="V192" s="113">
        <v>237.56970000000001</v>
      </c>
      <c r="W192" s="113">
        <f t="shared" si="36"/>
        <v>6667631.2002000008</v>
      </c>
      <c r="X192" s="99" t="s">
        <v>751</v>
      </c>
      <c r="AH192" s="149">
        <v>28</v>
      </c>
      <c r="AI192" s="149" t="s">
        <v>4618</v>
      </c>
      <c r="AJ192" s="189">
        <v>235062</v>
      </c>
      <c r="AK192" s="149">
        <v>9</v>
      </c>
      <c r="AL192" s="99">
        <f t="shared" si="39"/>
        <v>52</v>
      </c>
      <c r="AM192" s="149">
        <f t="shared" si="38"/>
        <v>12223224</v>
      </c>
      <c r="AN192" s="149" t="s">
        <v>657</v>
      </c>
    </row>
    <row r="193" spans="17:44">
      <c r="T193" s="217" t="s">
        <v>4763</v>
      </c>
      <c r="U193" s="217">
        <v>28066</v>
      </c>
      <c r="V193" s="113">
        <v>237.56970000000001</v>
      </c>
      <c r="W193" s="113">
        <f t="shared" si="36"/>
        <v>6667631.2002000008</v>
      </c>
      <c r="X193" s="99" t="s">
        <v>452</v>
      </c>
      <c r="AH193" s="149">
        <v>29</v>
      </c>
      <c r="AI193" s="149" t="s">
        <v>4648</v>
      </c>
      <c r="AJ193" s="189">
        <v>450000</v>
      </c>
      <c r="AK193" s="149">
        <v>0</v>
      </c>
      <c r="AL193" s="99">
        <f t="shared" si="39"/>
        <v>43</v>
      </c>
      <c r="AM193" s="149">
        <f t="shared" si="38"/>
        <v>19350000</v>
      </c>
      <c r="AN193" s="149" t="s">
        <v>657</v>
      </c>
    </row>
    <row r="194" spans="17:44">
      <c r="Q194" s="99" t="s">
        <v>751</v>
      </c>
      <c r="R194" s="99"/>
      <c r="T194" s="217" t="s">
        <v>3684</v>
      </c>
      <c r="U194" s="217">
        <v>37457</v>
      </c>
      <c r="V194" s="113">
        <v>239.77</v>
      </c>
      <c r="W194" s="113">
        <f t="shared" si="36"/>
        <v>8981064.8900000006</v>
      </c>
      <c r="X194" s="99" t="s">
        <v>751</v>
      </c>
      <c r="AH194" s="20">
        <v>30</v>
      </c>
      <c r="AI194" s="20" t="s">
        <v>4648</v>
      </c>
      <c r="AJ194" s="117">
        <v>450000</v>
      </c>
      <c r="AK194" s="20">
        <v>22</v>
      </c>
      <c r="AL194" s="99">
        <f>AK194+AL195</f>
        <v>43</v>
      </c>
      <c r="AM194" s="20">
        <f t="shared" si="38"/>
        <v>19350000</v>
      </c>
      <c r="AN194" s="20"/>
    </row>
    <row r="195" spans="17:44">
      <c r="Q195" s="99" t="s">
        <v>4444</v>
      </c>
      <c r="R195" s="95">
        <v>172908000</v>
      </c>
      <c r="T195" s="217" t="s">
        <v>3684</v>
      </c>
      <c r="U195" s="217">
        <v>37457</v>
      </c>
      <c r="V195" s="113">
        <v>239.77</v>
      </c>
      <c r="W195" s="113">
        <f t="shared" si="36"/>
        <v>8981064.8900000006</v>
      </c>
      <c r="X195" s="99" t="s">
        <v>452</v>
      </c>
      <c r="AH195" s="149">
        <v>31</v>
      </c>
      <c r="AI195" s="149" t="s">
        <v>4752</v>
      </c>
      <c r="AJ195" s="189">
        <v>300000</v>
      </c>
      <c r="AK195" s="149">
        <v>0</v>
      </c>
      <c r="AL195" s="149">
        <f t="shared" ref="AL195:AL197" si="40">AK195+AL196</f>
        <v>21</v>
      </c>
      <c r="AM195" s="149">
        <f t="shared" ref="AM195:AM198" si="41">AJ195*AL195</f>
        <v>6300000</v>
      </c>
      <c r="AN195" s="149"/>
    </row>
    <row r="196" spans="17:44" ht="30">
      <c r="Q196" s="99" t="s">
        <v>4485</v>
      </c>
      <c r="R196" s="95">
        <v>1400000</v>
      </c>
      <c r="T196" s="217" t="s">
        <v>4776</v>
      </c>
      <c r="U196" s="217">
        <v>38412</v>
      </c>
      <c r="V196" s="113">
        <v>239.03</v>
      </c>
      <c r="W196" s="113">
        <f t="shared" si="36"/>
        <v>9181620.3599999994</v>
      </c>
      <c r="X196" s="99" t="s">
        <v>751</v>
      </c>
      <c r="AH196" s="121">
        <v>32</v>
      </c>
      <c r="AI196" s="121" t="s">
        <v>4752</v>
      </c>
      <c r="AJ196" s="79">
        <v>288936</v>
      </c>
      <c r="AK196" s="121">
        <v>3</v>
      </c>
      <c r="AL196" s="121">
        <f t="shared" si="40"/>
        <v>21</v>
      </c>
      <c r="AM196" s="121">
        <f t="shared" si="41"/>
        <v>6067656</v>
      </c>
      <c r="AN196" s="209" t="s">
        <v>4765</v>
      </c>
    </row>
    <row r="197" spans="17:44">
      <c r="Q197" s="99" t="s">
        <v>4232</v>
      </c>
      <c r="R197" s="95">
        <v>247393</v>
      </c>
      <c r="T197" s="217" t="s">
        <v>4776</v>
      </c>
      <c r="U197" s="217">
        <v>38412</v>
      </c>
      <c r="V197" s="113">
        <v>239.03</v>
      </c>
      <c r="W197" s="113">
        <f t="shared" si="36"/>
        <v>9181620.3599999994</v>
      </c>
      <c r="X197" s="99" t="s">
        <v>452</v>
      </c>
      <c r="AH197" s="121">
        <v>33</v>
      </c>
      <c r="AI197" s="121" t="s">
        <v>4763</v>
      </c>
      <c r="AJ197" s="79">
        <v>17962491</v>
      </c>
      <c r="AK197" s="121">
        <v>1</v>
      </c>
      <c r="AL197" s="121">
        <f t="shared" si="40"/>
        <v>18</v>
      </c>
      <c r="AM197" s="121">
        <f t="shared" si="41"/>
        <v>323324838</v>
      </c>
      <c r="AN197" s="121" t="s">
        <v>4770</v>
      </c>
      <c r="AQ197" t="s">
        <v>25</v>
      </c>
    </row>
    <row r="198" spans="17:44">
      <c r="Q198" s="99" t="s">
        <v>4231</v>
      </c>
      <c r="R198" s="95">
        <v>6780000</v>
      </c>
      <c r="T198" s="217" t="s">
        <v>4786</v>
      </c>
      <c r="U198" s="217">
        <v>49555</v>
      </c>
      <c r="V198" s="113">
        <v>238.345</v>
      </c>
      <c r="W198" s="113">
        <f t="shared" si="36"/>
        <v>11811186.475</v>
      </c>
      <c r="X198" s="99" t="s">
        <v>751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17</v>
      </c>
      <c r="AM198" s="121">
        <f t="shared" si="41"/>
        <v>312179687</v>
      </c>
      <c r="AN198" s="121" t="s">
        <v>4770</v>
      </c>
    </row>
    <row r="199" spans="17:44">
      <c r="Q199" s="99" t="s">
        <v>4602</v>
      </c>
      <c r="R199" s="95">
        <v>-4000000</v>
      </c>
      <c r="T199" s="217" t="s">
        <v>4786</v>
      </c>
      <c r="U199" s="217">
        <v>49555</v>
      </c>
      <c r="V199" s="113">
        <v>238.345</v>
      </c>
      <c r="W199" s="113">
        <f t="shared" si="36"/>
        <v>11811186.475</v>
      </c>
      <c r="X199" s="99" t="s">
        <v>452</v>
      </c>
      <c r="AH199" s="121">
        <v>35</v>
      </c>
      <c r="AI199" s="121" t="s">
        <v>4776</v>
      </c>
      <c r="AJ199" s="79">
        <v>23622417</v>
      </c>
      <c r="AK199" s="121">
        <v>5</v>
      </c>
      <c r="AL199" s="121">
        <f t="shared" ref="AL199:AL205" si="42">AK199+AL202</f>
        <v>5</v>
      </c>
      <c r="AM199" s="121">
        <f t="shared" ref="AM199:AM205" si="43">AJ199*AL199</f>
        <v>118112085</v>
      </c>
      <c r="AN199" s="121" t="s">
        <v>4785</v>
      </c>
    </row>
    <row r="200" spans="17:44">
      <c r="Q200" s="99" t="s">
        <v>4638</v>
      </c>
      <c r="R200" s="95">
        <v>16727037</v>
      </c>
      <c r="T200" s="217" t="s">
        <v>4804</v>
      </c>
      <c r="U200" s="217">
        <v>160187</v>
      </c>
      <c r="V200" s="113">
        <v>257.49799999999999</v>
      </c>
      <c r="W200" s="113">
        <f t="shared" si="36"/>
        <v>41247832.126000002</v>
      </c>
      <c r="X200" s="99" t="s">
        <v>751</v>
      </c>
      <c r="AH200" s="121">
        <v>36</v>
      </c>
      <c r="AI200" s="121" t="s">
        <v>4802</v>
      </c>
      <c r="AJ200" s="79">
        <v>82496108</v>
      </c>
      <c r="AK200" s="121">
        <v>1</v>
      </c>
      <c r="AL200" s="121">
        <f t="shared" si="42"/>
        <v>2</v>
      </c>
      <c r="AM200" s="121">
        <f t="shared" si="43"/>
        <v>164992216</v>
      </c>
      <c r="AN200" s="121" t="s">
        <v>4805</v>
      </c>
      <c r="AR200" t="s">
        <v>25</v>
      </c>
    </row>
    <row r="201" spans="17:44">
      <c r="Q201" s="99" t="s">
        <v>4645</v>
      </c>
      <c r="R201" s="95">
        <v>46460683</v>
      </c>
      <c r="T201" s="217" t="s">
        <v>4804</v>
      </c>
      <c r="U201" s="217">
        <v>160187</v>
      </c>
      <c r="V201" s="113">
        <v>257.49799999999999</v>
      </c>
      <c r="W201" s="113">
        <f t="shared" si="36"/>
        <v>41247832.126000002</v>
      </c>
      <c r="X201" s="99" t="s">
        <v>452</v>
      </c>
      <c r="AH201" s="121">
        <v>37</v>
      </c>
      <c r="AI201" s="121" t="s">
        <v>4804</v>
      </c>
      <c r="AJ201" s="79">
        <v>74657561</v>
      </c>
      <c r="AK201" s="121">
        <v>16</v>
      </c>
      <c r="AL201" s="121">
        <f t="shared" si="42"/>
        <v>16</v>
      </c>
      <c r="AM201" s="121">
        <f t="shared" si="43"/>
        <v>1194520976</v>
      </c>
      <c r="AN201" s="121" t="s">
        <v>4813</v>
      </c>
    </row>
    <row r="202" spans="17:44">
      <c r="Q202" s="99" t="s">
        <v>4648</v>
      </c>
      <c r="R202" s="95">
        <v>19663646</v>
      </c>
      <c r="S202" t="s">
        <v>25</v>
      </c>
      <c r="T202" s="217" t="s">
        <v>4814</v>
      </c>
      <c r="U202" s="217">
        <v>144401</v>
      </c>
      <c r="V202" s="113">
        <v>258.5061</v>
      </c>
      <c r="W202" s="113">
        <f t="shared" si="36"/>
        <v>37328539.346100003</v>
      </c>
      <c r="X202" s="99" t="s">
        <v>751</v>
      </c>
      <c r="AH202" s="99">
        <v>38</v>
      </c>
      <c r="AI202" s="99" t="s">
        <v>4905</v>
      </c>
      <c r="AJ202" s="117">
        <v>665000</v>
      </c>
      <c r="AK202" s="99">
        <v>0</v>
      </c>
      <c r="AL202" s="99">
        <f t="shared" si="42"/>
        <v>0</v>
      </c>
      <c r="AM202" s="20">
        <f t="shared" si="43"/>
        <v>0</v>
      </c>
      <c r="AN202" s="99"/>
    </row>
    <row r="203" spans="17:44">
      <c r="Q203" s="99" t="s">
        <v>4675</v>
      </c>
      <c r="R203" s="95">
        <v>4374525</v>
      </c>
      <c r="T203" s="217" t="s">
        <v>4814</v>
      </c>
      <c r="U203" s="217">
        <v>144401</v>
      </c>
      <c r="V203" s="113">
        <v>258.5061</v>
      </c>
      <c r="W203" s="113">
        <f t="shared" si="36"/>
        <v>37328539.346100003</v>
      </c>
      <c r="X203" s="99" t="s">
        <v>452</v>
      </c>
      <c r="AH203" s="149">
        <v>39</v>
      </c>
      <c r="AI203" s="149" t="s">
        <v>4905</v>
      </c>
      <c r="AJ203" s="189">
        <v>665000</v>
      </c>
      <c r="AK203" s="149">
        <v>1</v>
      </c>
      <c r="AL203" s="149">
        <f t="shared" si="42"/>
        <v>1</v>
      </c>
      <c r="AM203" s="149">
        <f t="shared" si="43"/>
        <v>665000</v>
      </c>
      <c r="AN203" s="149"/>
    </row>
    <row r="204" spans="17:44">
      <c r="Q204" s="99" t="s">
        <v>4691</v>
      </c>
      <c r="R204" s="95">
        <v>6550580</v>
      </c>
      <c r="T204" s="168" t="s">
        <v>4824</v>
      </c>
      <c r="U204" s="168">
        <v>196500</v>
      </c>
      <c r="V204" s="113">
        <v>254.452</v>
      </c>
      <c r="W204" s="113">
        <f t="shared" si="36"/>
        <v>49999818</v>
      </c>
      <c r="X204" s="99" t="s">
        <v>4832</v>
      </c>
      <c r="AH204" s="99"/>
      <c r="AI204" s="99"/>
      <c r="AJ204" s="117"/>
      <c r="AK204" s="99"/>
      <c r="AL204" s="99">
        <f t="shared" si="42"/>
        <v>0</v>
      </c>
      <c r="AM204" s="20">
        <f t="shared" si="43"/>
        <v>0</v>
      </c>
      <c r="AN204" s="99"/>
    </row>
    <row r="205" spans="17:44">
      <c r="Q205" s="99" t="s">
        <v>4695</v>
      </c>
      <c r="R205" s="95">
        <v>6650895</v>
      </c>
      <c r="T205" s="217" t="s">
        <v>4824</v>
      </c>
      <c r="U205" s="217">
        <v>2561</v>
      </c>
      <c r="V205" s="113">
        <v>254.536</v>
      </c>
      <c r="W205" s="113">
        <f t="shared" si="36"/>
        <v>651866.696</v>
      </c>
      <c r="X205" s="99" t="s">
        <v>4833</v>
      </c>
      <c r="AH205" s="99"/>
      <c r="AI205" s="99"/>
      <c r="AJ205" s="117"/>
      <c r="AK205" s="99"/>
      <c r="AL205" s="99">
        <f t="shared" si="42"/>
        <v>0</v>
      </c>
      <c r="AM205" s="99">
        <f t="shared" si="43"/>
        <v>0</v>
      </c>
      <c r="AN205" s="99"/>
    </row>
    <row r="206" spans="17:44">
      <c r="Q206" s="99" t="s">
        <v>4732</v>
      </c>
      <c r="R206" s="95">
        <v>2145814</v>
      </c>
      <c r="S206" t="s">
        <v>25</v>
      </c>
      <c r="T206" s="217" t="s">
        <v>4885</v>
      </c>
      <c r="U206" s="217">
        <v>-11795</v>
      </c>
      <c r="V206" s="113">
        <v>254.334</v>
      </c>
      <c r="W206" s="113">
        <f t="shared" si="36"/>
        <v>-2999869.5300000003</v>
      </c>
      <c r="X206" s="99" t="s">
        <v>4887</v>
      </c>
      <c r="AH206" s="99"/>
      <c r="AI206" s="99"/>
      <c r="AJ206" s="95">
        <f>SUM(AJ165:AJ205)</f>
        <v>247911198</v>
      </c>
      <c r="AK206" s="99"/>
      <c r="AL206" s="99"/>
      <c r="AM206" s="99">
        <f>SUM(AM165:AM205)</f>
        <v>6587504830</v>
      </c>
      <c r="AN206" s="95">
        <f>AM206*AN151/31</f>
        <v>3541740.0968261296</v>
      </c>
    </row>
    <row r="207" spans="17:44">
      <c r="Q207" s="99" t="s">
        <v>4747</v>
      </c>
      <c r="R207" s="95">
        <v>4369730</v>
      </c>
      <c r="T207" s="217" t="s">
        <v>4885</v>
      </c>
      <c r="U207" s="217">
        <v>11795</v>
      </c>
      <c r="V207" s="113">
        <v>254.334</v>
      </c>
      <c r="W207" s="113">
        <f t="shared" si="36"/>
        <v>2999869.5300000003</v>
      </c>
      <c r="X207" s="99" t="s">
        <v>4888</v>
      </c>
      <c r="AJ207" t="s">
        <v>4059</v>
      </c>
      <c r="AM207" t="s">
        <v>284</v>
      </c>
      <c r="AN207" t="s">
        <v>943</v>
      </c>
    </row>
    <row r="208" spans="17:44">
      <c r="Q208" s="99" t="s">
        <v>4752</v>
      </c>
      <c r="R208" s="95">
        <v>8739459</v>
      </c>
      <c r="T208" s="217" t="s">
        <v>4905</v>
      </c>
      <c r="U208" s="217">
        <v>260</v>
      </c>
      <c r="V208" s="113">
        <v>263.19</v>
      </c>
      <c r="W208" s="113">
        <f t="shared" si="36"/>
        <v>68429.399999999994</v>
      </c>
      <c r="X208" s="99" t="s">
        <v>452</v>
      </c>
    </row>
    <row r="209" spans="17:44">
      <c r="Q209" s="99" t="s">
        <v>4763</v>
      </c>
      <c r="R209" s="95">
        <v>6667654</v>
      </c>
      <c r="T209" s="217"/>
      <c r="U209" s="217"/>
      <c r="V209" s="113"/>
      <c r="W209" s="113"/>
      <c r="X209" s="99"/>
      <c r="AI209" t="s">
        <v>4061</v>
      </c>
      <c r="AJ209" s="114">
        <f>AJ206+AN206</f>
        <v>251452938.09682614</v>
      </c>
      <c r="AR209" t="s">
        <v>25</v>
      </c>
    </row>
    <row r="210" spans="17:44">
      <c r="Q210" s="99" t="s">
        <v>4771</v>
      </c>
      <c r="R210" s="95">
        <v>8981245</v>
      </c>
      <c r="T210" s="217" t="s">
        <v>25</v>
      </c>
      <c r="U210" s="217"/>
      <c r="V210" s="113"/>
      <c r="W210" s="113"/>
      <c r="X210" s="99"/>
      <c r="AI210" t="s">
        <v>4064</v>
      </c>
      <c r="AJ210" s="114">
        <f>SUM(N20:N31)</f>
        <v>257944867.5</v>
      </c>
      <c r="AQ210" t="s">
        <v>25</v>
      </c>
    </row>
    <row r="211" spans="17:44">
      <c r="Q211" s="99" t="s">
        <v>4776</v>
      </c>
      <c r="R211" s="95">
        <v>9181756</v>
      </c>
      <c r="T211" s="168"/>
      <c r="U211" s="168"/>
      <c r="V211" s="113"/>
      <c r="W211" s="113"/>
      <c r="X211" s="99"/>
      <c r="AI211" t="s">
        <v>4136</v>
      </c>
      <c r="AJ211" s="114">
        <f>AJ210-AJ206</f>
        <v>10033669.5</v>
      </c>
    </row>
    <row r="212" spans="17:44">
      <c r="Q212" s="99" t="s">
        <v>4786</v>
      </c>
      <c r="R212" s="95">
        <v>11811208</v>
      </c>
      <c r="T212" s="168"/>
      <c r="U212" s="168">
        <f>SUM(U162:U211)</f>
        <v>3207256</v>
      </c>
      <c r="V212" s="99"/>
      <c r="W212" s="99"/>
      <c r="X212" s="99"/>
      <c r="AI212" t="s">
        <v>943</v>
      </c>
      <c r="AJ212" s="114">
        <f>AN206</f>
        <v>3541740.0968261296</v>
      </c>
    </row>
    <row r="213" spans="17:44">
      <c r="Q213" s="99" t="s">
        <v>4804</v>
      </c>
      <c r="R213" s="95">
        <v>41248054</v>
      </c>
      <c r="S213" t="s">
        <v>25</v>
      </c>
      <c r="T213" s="99"/>
      <c r="U213" s="99" t="s">
        <v>6</v>
      </c>
      <c r="V213" s="99"/>
      <c r="W213" s="99"/>
      <c r="X213" s="99"/>
      <c r="AI213" t="s">
        <v>4065</v>
      </c>
      <c r="AJ213" s="114">
        <f>AJ211-AJ212</f>
        <v>6491929.4031738704</v>
      </c>
      <c r="AN213" t="s">
        <v>25</v>
      </c>
    </row>
    <row r="214" spans="17:44">
      <c r="Q214" s="99" t="s">
        <v>4814</v>
      </c>
      <c r="R214" s="95">
        <v>37328780</v>
      </c>
      <c r="T214" s="201" t="s">
        <v>4488</v>
      </c>
      <c r="Y214" s="96">
        <f>W220/15</f>
        <v>4977170.7333333334</v>
      </c>
      <c r="AN214" t="s">
        <v>25</v>
      </c>
    </row>
    <row r="215" spans="17:44">
      <c r="Q215" s="99"/>
      <c r="R215" s="95"/>
      <c r="T215" s="200">
        <f>R172/U212</f>
        <v>262.13166388963026</v>
      </c>
    </row>
    <row r="216" spans="17:44">
      <c r="Q216" s="99"/>
      <c r="R216" s="95">
        <f>SUM(R195:R215)</f>
        <v>408236459</v>
      </c>
      <c r="W216" s="114"/>
    </row>
    <row r="217" spans="17:44">
      <c r="Q217" s="99"/>
      <c r="R217" s="99" t="s">
        <v>6</v>
      </c>
      <c r="U217" s="96" t="s">
        <v>267</v>
      </c>
      <c r="V217" t="s">
        <v>4489</v>
      </c>
      <c r="X217" t="s">
        <v>25</v>
      </c>
    </row>
    <row r="218" spans="17:44">
      <c r="S218" t="s">
        <v>25</v>
      </c>
      <c r="T218" s="114"/>
      <c r="U218" s="113">
        <v>68656</v>
      </c>
      <c r="V218">
        <f>U218/T215</f>
        <v>261.91418076416517</v>
      </c>
      <c r="X218" t="s">
        <v>25</v>
      </c>
    </row>
    <row r="219" spans="17:44">
      <c r="X219" t="s">
        <v>25</v>
      </c>
    </row>
    <row r="220" spans="17:44">
      <c r="Q220" s="99" t="s">
        <v>452</v>
      </c>
      <c r="R220" s="99"/>
      <c r="W220" s="227">
        <v>74657561</v>
      </c>
      <c r="X220" s="96">
        <f>W220/2</f>
        <v>37328780.5</v>
      </c>
      <c r="Y220" t="s">
        <v>25</v>
      </c>
    </row>
    <row r="221" spans="17:44">
      <c r="Q221" s="99" t="s">
        <v>4444</v>
      </c>
      <c r="R221" s="95">
        <v>63115000</v>
      </c>
    </row>
    <row r="222" spans="17:44">
      <c r="Q222" s="99" t="s">
        <v>4499</v>
      </c>
      <c r="R222" s="95">
        <v>13300000</v>
      </c>
    </row>
    <row r="223" spans="17:44" ht="60">
      <c r="Q223" s="99" t="s">
        <v>4509</v>
      </c>
      <c r="R223" s="95">
        <v>2269000</v>
      </c>
      <c r="T223" s="22" t="s">
        <v>4472</v>
      </c>
      <c r="X223" t="s">
        <v>25</v>
      </c>
    </row>
    <row r="224" spans="17:44" ht="45">
      <c r="Q224" s="99" t="s">
        <v>4633</v>
      </c>
      <c r="R224" s="95">
        <v>25071612</v>
      </c>
      <c r="T224" s="22" t="s">
        <v>4473</v>
      </c>
    </row>
    <row r="225" spans="17:22">
      <c r="Q225" s="99" t="s">
        <v>4645</v>
      </c>
      <c r="R225" s="95">
        <v>42236984</v>
      </c>
    </row>
    <row r="226" spans="17:22">
      <c r="Q226" s="99" t="s">
        <v>4648</v>
      </c>
      <c r="R226" s="95">
        <v>19663646</v>
      </c>
    </row>
    <row r="227" spans="17:22">
      <c r="Q227" s="99" t="s">
        <v>4675</v>
      </c>
      <c r="R227" s="95">
        <v>4374525</v>
      </c>
      <c r="T227" s="99" t="s">
        <v>4490</v>
      </c>
      <c r="U227" s="99" t="s">
        <v>4461</v>
      </c>
      <c r="V227" s="99" t="s">
        <v>953</v>
      </c>
    </row>
    <row r="228" spans="17:22">
      <c r="Q228" s="99" t="s">
        <v>4691</v>
      </c>
      <c r="R228" s="95">
        <v>6550580</v>
      </c>
      <c r="T228" s="95">
        <f>R188+R216+R244</f>
        <v>786415057</v>
      </c>
      <c r="U228" s="95">
        <f>R172</f>
        <v>840723351.80000007</v>
      </c>
      <c r="V228" s="95">
        <f>U228-T228</f>
        <v>54308294.800000072</v>
      </c>
    </row>
    <row r="229" spans="17:22">
      <c r="Q229" s="99" t="s">
        <v>4695</v>
      </c>
      <c r="R229" s="95">
        <v>7054895</v>
      </c>
    </row>
    <row r="230" spans="17:22">
      <c r="Q230" s="99" t="s">
        <v>4732</v>
      </c>
      <c r="R230" s="95">
        <v>2145814</v>
      </c>
    </row>
    <row r="231" spans="17:22">
      <c r="Q231" s="99" t="s">
        <v>4747</v>
      </c>
      <c r="R231" s="95">
        <v>4369730</v>
      </c>
    </row>
    <row r="232" spans="17:22">
      <c r="Q232" s="99" t="s">
        <v>4752</v>
      </c>
      <c r="R232" s="95">
        <v>8739459</v>
      </c>
    </row>
    <row r="233" spans="17:22">
      <c r="Q233" s="99" t="s">
        <v>4763</v>
      </c>
      <c r="R233" s="95">
        <v>6667654</v>
      </c>
      <c r="T233" t="s">
        <v>25</v>
      </c>
    </row>
    <row r="234" spans="17:22">
      <c r="Q234" s="99" t="s">
        <v>3684</v>
      </c>
      <c r="R234" s="95">
        <v>8981245</v>
      </c>
      <c r="T234" t="s">
        <v>25</v>
      </c>
    </row>
    <row r="235" spans="17:22">
      <c r="Q235" s="99" t="s">
        <v>4776</v>
      </c>
      <c r="R235" s="95">
        <v>9181756</v>
      </c>
    </row>
    <row r="236" spans="17:22">
      <c r="Q236" s="99" t="s">
        <v>4786</v>
      </c>
      <c r="R236" s="95">
        <v>11811208</v>
      </c>
      <c r="T236" t="s">
        <v>25</v>
      </c>
    </row>
    <row r="237" spans="17:22">
      <c r="Q237" s="99" t="s">
        <v>4804</v>
      </c>
      <c r="R237" s="95">
        <v>41248054</v>
      </c>
    </row>
    <row r="238" spans="17:22">
      <c r="Q238" s="99" t="s">
        <v>4814</v>
      </c>
      <c r="R238" s="95">
        <v>37328780</v>
      </c>
    </row>
    <row r="239" spans="17:22">
      <c r="Q239" s="99" t="s">
        <v>4824</v>
      </c>
      <c r="R239" s="95">
        <v>50000000</v>
      </c>
    </row>
    <row r="240" spans="17:22">
      <c r="Q240" s="99" t="s">
        <v>4905</v>
      </c>
      <c r="R240" s="95">
        <v>68656</v>
      </c>
      <c r="T240" t="s">
        <v>25</v>
      </c>
    </row>
    <row r="241" spans="17:20">
      <c r="Q241" s="99"/>
      <c r="R241" s="95"/>
      <c r="T241" t="s">
        <v>25</v>
      </c>
    </row>
    <row r="242" spans="17:20">
      <c r="Q242" s="99"/>
      <c r="R242" s="95"/>
    </row>
    <row r="243" spans="17:20">
      <c r="Q243" s="99"/>
      <c r="R243" s="95"/>
      <c r="T243" t="s">
        <v>25</v>
      </c>
    </row>
    <row r="244" spans="17:20">
      <c r="Q244" s="99"/>
      <c r="R244" s="95">
        <f>SUM(R221:R243)</f>
        <v>364178598</v>
      </c>
      <c r="T244" t="s">
        <v>25</v>
      </c>
    </row>
    <row r="245" spans="17:20">
      <c r="Q245" s="99"/>
      <c r="R245" s="99" t="s">
        <v>6</v>
      </c>
    </row>
    <row r="248" spans="17:20">
      <c r="T248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28:G1048576 I120:I127 G96:G109 G118:G119">
    <cfRule type="cellIs" dxfId="11" priority="12" operator="lessThan">
      <formula>0</formula>
    </cfRule>
  </conditionalFormatting>
  <conditionalFormatting sqref="G110">
    <cfRule type="cellIs" dxfId="10" priority="11" operator="lessThan">
      <formula>0</formula>
    </cfRule>
  </conditionalFormatting>
  <conditionalFormatting sqref="G113">
    <cfRule type="cellIs" dxfId="9" priority="3" operator="lessThan">
      <formula>0</formula>
    </cfRule>
  </conditionalFormatting>
  <conditionalFormatting sqref="G111">
    <cfRule type="cellIs" dxfId="8" priority="6" operator="lessThan">
      <formula>0</formula>
    </cfRule>
  </conditionalFormatting>
  <conditionalFormatting sqref="G114 G116">
    <cfRule type="cellIs" dxfId="7" priority="4" operator="lessThan">
      <formula>0</formula>
    </cfRule>
  </conditionalFormatting>
  <conditionalFormatting sqref="G117">
    <cfRule type="cellIs" dxfId="6" priority="1" operator="lessThan">
      <formula>0</formula>
    </cfRule>
  </conditionalFormatting>
  <conditionalFormatting sqref="G112">
    <cfRule type="cellIs" dxfId="5" priority="5" operator="lessThan">
      <formula>0</formula>
    </cfRule>
  </conditionalFormatting>
  <conditionalFormatting sqref="G115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9 S87 S93 S96:S98 S101 S107:S108 S103 S118 S37:S38 S132 S13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B61" workbookViewId="0">
      <selection activeCell="L81" sqref="L81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4900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4732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4732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4718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4747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4725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4747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4732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4749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4735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4749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4735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4749</v>
      </c>
      <c r="L24" s="224">
        <v>4388600</v>
      </c>
      <c r="M24" s="223">
        <v>5</v>
      </c>
      <c r="N24" s="224">
        <f t="shared" si="7"/>
        <v>21943000</v>
      </c>
      <c r="O24" s="225" t="s">
        <v>4764</v>
      </c>
      <c r="W24" s="217" t="s">
        <v>4749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4752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4752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4752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4763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4763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4763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4776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4776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4776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4776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4776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4776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4786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4788</v>
      </c>
    </row>
    <row r="33" spans="1:32">
      <c r="A33" s="99"/>
      <c r="B33" s="204"/>
      <c r="C33" s="169"/>
      <c r="D33" s="99"/>
      <c r="J33" s="217">
        <v>32</v>
      </c>
      <c r="K33" s="217" t="s">
        <v>4802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4786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4802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4786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4804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4804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4804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4804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4804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4814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4814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4814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4836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4741</v>
      </c>
      <c r="C42" s="99" t="s">
        <v>4742</v>
      </c>
      <c r="D42" s="99" t="s">
        <v>4743</v>
      </c>
      <c r="E42" s="69" t="s">
        <v>4744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4852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4857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4868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4870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4868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4718</v>
      </c>
      <c r="B46" s="95">
        <v>4270000</v>
      </c>
      <c r="C46" s="95">
        <v>4370000</v>
      </c>
      <c r="D46" s="95"/>
      <c r="E46" s="95"/>
      <c r="W46" s="217" t="s">
        <v>4898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4739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4745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4747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4749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4752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4763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4795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4802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4804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4814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4824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4836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4817</v>
      </c>
      <c r="K63" s="217" t="s">
        <v>180</v>
      </c>
      <c r="L63" s="230" t="s">
        <v>4815</v>
      </c>
      <c r="M63" s="230" t="s">
        <v>4816</v>
      </c>
      <c r="N63" s="217" t="s">
        <v>6</v>
      </c>
      <c r="O63" s="217" t="s">
        <v>4818</v>
      </c>
      <c r="P63" s="217" t="s">
        <v>4838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4847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4749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4852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4786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4856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4795</v>
      </c>
      <c r="L66" s="84">
        <v>560461325</v>
      </c>
      <c r="M66" s="84"/>
      <c r="N66" s="217"/>
      <c r="O66" s="217"/>
      <c r="P66" s="217"/>
    </row>
    <row r="67" spans="1:27">
      <c r="A67" s="99" t="s">
        <v>4857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4802</v>
      </c>
      <c r="L67" s="84">
        <v>577849094</v>
      </c>
      <c r="M67" s="84"/>
      <c r="N67" s="217"/>
      <c r="O67" s="217"/>
      <c r="P67" s="217"/>
    </row>
    <row r="68" spans="1:27">
      <c r="A68" s="99" t="s">
        <v>4868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4872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4814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4835</v>
      </c>
      <c r="J70" s="35">
        <f t="shared" si="12"/>
        <v>45893629</v>
      </c>
      <c r="K70" s="5" t="s">
        <v>4824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4898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4836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 t="s">
        <v>4902</v>
      </c>
      <c r="B72" s="95">
        <v>4400000</v>
      </c>
      <c r="C72" s="95">
        <v>4550000</v>
      </c>
      <c r="D72" s="95">
        <v>12850</v>
      </c>
      <c r="E72" s="95">
        <v>13000</v>
      </c>
      <c r="I72" s="217"/>
      <c r="J72" s="113">
        <f t="shared" si="12"/>
        <v>-2687296</v>
      </c>
      <c r="K72" s="217" t="s">
        <v>4852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 t="s">
        <v>4905</v>
      </c>
      <c r="B73" s="95">
        <v>4400000</v>
      </c>
      <c r="C73" s="95">
        <v>4520000</v>
      </c>
      <c r="D73" s="95">
        <v>12800</v>
      </c>
      <c r="E73" s="95">
        <v>12950</v>
      </c>
      <c r="I73" s="217"/>
      <c r="J73" s="113">
        <f t="shared" si="12"/>
        <v>-6009466</v>
      </c>
      <c r="K73" s="217" t="s">
        <v>4856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/>
      <c r="B74" s="95"/>
      <c r="C74" s="95"/>
      <c r="D74" s="95"/>
      <c r="E74" s="95"/>
      <c r="I74" s="217"/>
      <c r="J74" s="113">
        <f t="shared" si="12"/>
        <v>-1273071</v>
      </c>
      <c r="K74" s="217" t="s">
        <v>4857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/>
      <c r="B75" s="95"/>
      <c r="C75" s="95"/>
      <c r="D75" s="95"/>
      <c r="E75" s="95"/>
      <c r="I75" s="217"/>
      <c r="J75" s="113">
        <f t="shared" si="12"/>
        <v>112274</v>
      </c>
      <c r="K75" s="217" t="s">
        <v>4868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7"/>
      <c r="J76" s="113">
        <f t="shared" si="12"/>
        <v>6567221</v>
      </c>
      <c r="K76" s="217" t="s">
        <v>4872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D78" s="114">
        <f>B73-B47+L19</f>
        <v>4711628</v>
      </c>
      <c r="F78" t="s">
        <v>25</v>
      </c>
      <c r="I78" s="217"/>
      <c r="J78" s="113">
        <f t="shared" si="12"/>
        <v>6046556</v>
      </c>
      <c r="K78" s="217" t="s">
        <v>4898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B79" t="s">
        <v>25</v>
      </c>
      <c r="I79" s="217"/>
      <c r="J79" s="113">
        <f t="shared" si="12"/>
        <v>6885870</v>
      </c>
      <c r="K79" s="217" t="s">
        <v>4902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I80" s="217"/>
      <c r="J80" s="113">
        <f t="shared" si="12"/>
        <v>-1984018</v>
      </c>
      <c r="K80" s="217" t="s">
        <v>4905</v>
      </c>
      <c r="L80" s="84">
        <v>641421493</v>
      </c>
      <c r="M80" s="84">
        <v>250864833</v>
      </c>
      <c r="N80" s="113">
        <f t="shared" si="13"/>
        <v>892286326</v>
      </c>
      <c r="O80" s="113">
        <f t="shared" si="14"/>
        <v>-1817553</v>
      </c>
      <c r="P80" s="113">
        <f t="shared" si="15"/>
        <v>-3801571</v>
      </c>
    </row>
    <row r="81" spans="4:16">
      <c r="D81" t="s">
        <v>25</v>
      </c>
      <c r="E81" t="s">
        <v>25</v>
      </c>
      <c r="I81" s="217"/>
      <c r="J81" s="113">
        <f t="shared" si="12"/>
        <v>-641421493</v>
      </c>
      <c r="K81" s="217"/>
      <c r="L81" s="84"/>
      <c r="M81" s="84"/>
      <c r="N81" s="113">
        <f t="shared" si="13"/>
        <v>0</v>
      </c>
      <c r="O81" s="113">
        <f t="shared" si="14"/>
        <v>-250864833</v>
      </c>
      <c r="P81" s="113">
        <f t="shared" si="15"/>
        <v>-892286326</v>
      </c>
    </row>
    <row r="82" spans="4:16">
      <c r="I82" s="217"/>
      <c r="J82" s="113">
        <f t="shared" si="12"/>
        <v>0</v>
      </c>
      <c r="K82" s="217"/>
      <c r="L82" s="84"/>
      <c r="M82" s="84"/>
      <c r="N82" s="113">
        <f t="shared" si="13"/>
        <v>0</v>
      </c>
      <c r="O82" s="113">
        <f t="shared" si="14"/>
        <v>0</v>
      </c>
      <c r="P82" s="113">
        <f t="shared" si="15"/>
        <v>0</v>
      </c>
    </row>
    <row r="83" spans="4:16">
      <c r="I83" s="217"/>
      <c r="J83" s="113">
        <f t="shared" si="12"/>
        <v>0</v>
      </c>
      <c r="K83" s="217"/>
      <c r="L83" s="84"/>
      <c r="M83" s="84"/>
      <c r="N83" s="113">
        <f t="shared" si="13"/>
        <v>0</v>
      </c>
      <c r="O83" s="113">
        <f t="shared" si="14"/>
        <v>0</v>
      </c>
      <c r="P83" s="113">
        <f t="shared" si="15"/>
        <v>0</v>
      </c>
    </row>
    <row r="84" spans="4:16">
      <c r="I84" s="217"/>
      <c r="J84" s="113">
        <f t="shared" si="12"/>
        <v>0</v>
      </c>
      <c r="K84" s="217"/>
      <c r="L84" s="84"/>
      <c r="M84" s="84"/>
      <c r="N84" s="113">
        <f t="shared" si="13"/>
        <v>0</v>
      </c>
      <c r="O84" s="113">
        <f t="shared" si="14"/>
        <v>0</v>
      </c>
      <c r="P84" s="113">
        <f t="shared" si="15"/>
        <v>0</v>
      </c>
    </row>
    <row r="85" spans="4:16">
      <c r="I85" s="217"/>
      <c r="J85" s="113">
        <f t="shared" si="12"/>
        <v>0</v>
      </c>
      <c r="K85" s="217"/>
      <c r="L85" s="84"/>
      <c r="M85" s="84"/>
      <c r="N85" s="113">
        <f t="shared" si="13"/>
        <v>0</v>
      </c>
      <c r="O85" s="113">
        <f t="shared" si="14"/>
        <v>0</v>
      </c>
      <c r="P85" s="113">
        <f t="shared" si="15"/>
        <v>0</v>
      </c>
    </row>
    <row r="86" spans="4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4:16"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4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4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4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4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2019-03-12T11:49:58Z</dcterms:modified>
</cp:coreProperties>
</file>