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9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T265" i="18" l="1"/>
  <c r="V171" i="18"/>
  <c r="X171" i="18" s="1"/>
  <c r="V170" i="18"/>
  <c r="W170" i="18" s="1"/>
  <c r="S171" i="18"/>
  <c r="S170" i="18"/>
  <c r="W171" i="18" l="1"/>
  <c r="X170" i="18"/>
  <c r="P24" i="18"/>
  <c r="N24" i="18" s="1"/>
  <c r="P32" i="18"/>
  <c r="N32" i="18" s="1"/>
  <c r="N51" i="18"/>
  <c r="P184" i="18"/>
  <c r="P106" i="52"/>
  <c r="O106" i="52"/>
  <c r="J106" i="52"/>
  <c r="P104" i="52" l="1"/>
  <c r="J104" i="52"/>
  <c r="G142" i="18"/>
  <c r="E276" i="15"/>
  <c r="E277" i="15"/>
  <c r="E278" i="15"/>
  <c r="E279" i="15"/>
  <c r="E280" i="15"/>
  <c r="E281" i="15"/>
  <c r="E282" i="15"/>
  <c r="E283" i="15"/>
  <c r="E284" i="15"/>
  <c r="E285" i="15"/>
  <c r="E286" i="15"/>
  <c r="D287" i="15"/>
  <c r="D286" i="15" s="1"/>
  <c r="E287" i="15"/>
  <c r="F286" i="15" l="1"/>
  <c r="D285" i="15"/>
  <c r="F287" i="15"/>
  <c r="AL240" i="18"/>
  <c r="AM240" i="18" s="1"/>
  <c r="W260" i="18"/>
  <c r="D284" i="15" l="1"/>
  <c r="F285" i="15"/>
  <c r="AL239" i="18"/>
  <c r="D8" i="60"/>
  <c r="D16" i="60"/>
  <c r="C7" i="60"/>
  <c r="D7" i="60" s="1"/>
  <c r="J3" i="60"/>
  <c r="F8" i="60" s="1"/>
  <c r="D3" i="60"/>
  <c r="D4" i="60"/>
  <c r="D5" i="60"/>
  <c r="D6" i="60"/>
  <c r="D2" i="60"/>
  <c r="D21" i="60" s="1"/>
  <c r="F284" i="15" l="1"/>
  <c r="D283" i="15"/>
  <c r="F13" i="60"/>
  <c r="D13" i="60"/>
  <c r="F18" i="60"/>
  <c r="F10" i="60"/>
  <c r="D12" i="60"/>
  <c r="F17" i="60"/>
  <c r="F9" i="60"/>
  <c r="D17" i="60"/>
  <c r="D9" i="60"/>
  <c r="F14" i="60"/>
  <c r="AL238" i="18"/>
  <c r="AM239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59" i="18"/>
  <c r="D282" i="15" l="1"/>
  <c r="F283" i="15"/>
  <c r="AM238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P110" i="52" s="1"/>
  <c r="O110" i="52"/>
  <c r="N111" i="52"/>
  <c r="O111" i="52"/>
  <c r="P111" i="52"/>
  <c r="J100" i="52"/>
  <c r="J101" i="52"/>
  <c r="J102" i="52"/>
  <c r="J103" i="52"/>
  <c r="J105" i="52"/>
  <c r="J107" i="52"/>
  <c r="J108" i="52"/>
  <c r="J109" i="52"/>
  <c r="J110" i="52"/>
  <c r="J111" i="52"/>
  <c r="J112" i="52"/>
  <c r="J97" i="52"/>
  <c r="J98" i="52"/>
  <c r="J99" i="52"/>
  <c r="P107" i="52" l="1"/>
  <c r="D278" i="15"/>
  <c r="F279" i="15"/>
  <c r="P105" i="52"/>
  <c r="AM234" i="18"/>
  <c r="AL233" i="18"/>
  <c r="P108" i="52"/>
  <c r="P99" i="52"/>
  <c r="P109" i="52"/>
  <c r="P103" i="52"/>
  <c r="P102" i="52"/>
  <c r="P101" i="52"/>
  <c r="P100" i="52"/>
  <c r="F278" i="15" l="1"/>
  <c r="D277" i="15"/>
  <c r="AL232" i="18"/>
  <c r="AM233" i="18"/>
  <c r="R294" i="18"/>
  <c r="J90" i="52"/>
  <c r="J95" i="52"/>
  <c r="W258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8" i="18"/>
  <c r="O147" i="18"/>
  <c r="O146" i="18"/>
  <c r="AM230" i="18" l="1"/>
  <c r="AL229" i="18"/>
  <c r="P97" i="52"/>
  <c r="P98" i="52"/>
  <c r="P95" i="52"/>
  <c r="P96" i="52"/>
  <c r="P94" i="52"/>
  <c r="P93" i="52"/>
  <c r="O150" i="18"/>
  <c r="N91" i="52"/>
  <c r="P92" i="52" s="1"/>
  <c r="AL228" i="18" l="1"/>
  <c r="AM228" i="18" s="1"/>
  <c r="AM229" i="18"/>
  <c r="R256" i="18"/>
  <c r="W257" i="18"/>
  <c r="W256" i="18"/>
  <c r="W255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54" i="18"/>
  <c r="G143" i="18" l="1"/>
  <c r="J143" i="18" s="1"/>
  <c r="J142" i="18"/>
  <c r="G141" i="18"/>
  <c r="J141" i="18" s="1"/>
  <c r="G140" i="18"/>
  <c r="J140" i="18" s="1"/>
  <c r="J144" i="18" l="1"/>
  <c r="R226" i="18"/>
  <c r="T278" i="18" s="1"/>
  <c r="W253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4" i="18"/>
  <c r="N34" i="18" s="1"/>
  <c r="W252" i="18"/>
  <c r="G32" i="57" l="1"/>
  <c r="H32" i="57"/>
  <c r="D32" i="57"/>
  <c r="I32" i="57" s="1"/>
  <c r="D345" i="20"/>
  <c r="U262" i="18"/>
  <c r="W251" i="18"/>
  <c r="W250" i="18"/>
  <c r="W186" i="18" l="1"/>
  <c r="W185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49" i="18"/>
  <c r="D343" i="20"/>
  <c r="W248" i="18" l="1"/>
  <c r="D342" i="20"/>
  <c r="J83" i="52"/>
  <c r="O83" i="52"/>
  <c r="W247" i="18"/>
  <c r="W246" i="18"/>
  <c r="F44" i="14"/>
  <c r="F45" i="14"/>
  <c r="F46" i="14"/>
  <c r="F47" i="14"/>
  <c r="F48" i="14"/>
  <c r="F49" i="14"/>
  <c r="F50" i="14"/>
  <c r="D341" i="20"/>
  <c r="AJ241" i="18" l="1"/>
  <c r="AL147" i="18" l="1"/>
  <c r="AM147" i="18" s="1"/>
  <c r="W245" i="18"/>
  <c r="AL145" i="18" l="1"/>
  <c r="AM145" i="18" s="1"/>
  <c r="D340" i="20" l="1"/>
  <c r="P23" i="18"/>
  <c r="N23" i="18" s="1"/>
  <c r="N50" i="18"/>
  <c r="W244" i="18"/>
  <c r="H337" i="20"/>
  <c r="H338" i="20"/>
  <c r="H339" i="20"/>
  <c r="H340" i="20"/>
  <c r="H341" i="20"/>
  <c r="H368" i="20"/>
  <c r="H369" i="20"/>
  <c r="D339" i="20"/>
  <c r="O80" i="18" l="1"/>
  <c r="O79" i="18"/>
  <c r="O78" i="18"/>
  <c r="B371" i="20"/>
  <c r="D332" i="20"/>
  <c r="D333" i="20"/>
  <c r="D334" i="20"/>
  <c r="D335" i="20"/>
  <c r="D336" i="20"/>
  <c r="D337" i="20"/>
  <c r="D338" i="20"/>
  <c r="D369" i="20"/>
  <c r="W243" i="18" l="1"/>
  <c r="D80" i="57"/>
  <c r="AD46" i="52" l="1"/>
  <c r="AE46" i="52"/>
  <c r="G46" i="10"/>
  <c r="D331" i="20" l="1"/>
  <c r="D330" i="20" l="1"/>
  <c r="W242" i="18" l="1"/>
  <c r="W241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8" i="18"/>
  <c r="M119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40" i="18" l="1"/>
  <c r="W239" i="18"/>
  <c r="G133" i="18"/>
  <c r="J133" i="18" s="1"/>
  <c r="G132" i="18"/>
  <c r="J132" i="18" s="1"/>
  <c r="G131" i="18"/>
  <c r="J131" i="18" s="1"/>
  <c r="G130" i="18"/>
  <c r="J130" i="18" s="1"/>
  <c r="J134" i="18" l="1"/>
  <c r="Z40" i="52"/>
  <c r="Z39" i="52"/>
  <c r="Z38" i="52"/>
  <c r="AD38" i="52"/>
  <c r="AD39" i="52"/>
  <c r="AD40" i="52"/>
  <c r="AE40" i="52"/>
  <c r="AE39" i="52"/>
  <c r="AE38" i="52"/>
  <c r="R201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8" i="18"/>
  <c r="W237" i="18"/>
  <c r="L40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36" i="18" l="1"/>
  <c r="W235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34" i="18" l="1"/>
  <c r="W233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6" i="18"/>
  <c r="N26" i="18" s="1"/>
  <c r="N22" i="18"/>
  <c r="P31" i="18"/>
  <c r="N31" i="18" s="1"/>
  <c r="W232" i="18" l="1"/>
  <c r="W231" i="18"/>
  <c r="N30" i="52"/>
  <c r="N29" i="52"/>
  <c r="AD27" i="52"/>
  <c r="Z27" i="52"/>
  <c r="AE27" i="52"/>
  <c r="W230" i="18" l="1"/>
  <c r="W229" i="18"/>
  <c r="N28" i="52"/>
  <c r="N27" i="52"/>
  <c r="AD26" i="52" l="1"/>
  <c r="AE26" i="52"/>
  <c r="N42" i="18"/>
  <c r="AL227" i="18" l="1"/>
  <c r="D313" i="20"/>
  <c r="AL226" i="18" l="1"/>
  <c r="AM227" i="18"/>
  <c r="L123" i="18"/>
  <c r="L120" i="18" s="1"/>
  <c r="AM226" i="18" l="1"/>
  <c r="AL225" i="18"/>
  <c r="L118" i="18"/>
  <c r="L119" i="18"/>
  <c r="N119" i="18" s="1"/>
  <c r="M123" i="18"/>
  <c r="L112" i="18"/>
  <c r="W228" i="18"/>
  <c r="W227" i="18"/>
  <c r="N24" i="52"/>
  <c r="N26" i="52"/>
  <c r="N25" i="52"/>
  <c r="AL224" i="18" l="1"/>
  <c r="AM225" i="18"/>
  <c r="N71" i="18"/>
  <c r="K122" i="18"/>
  <c r="L114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26" i="18"/>
  <c r="W225" i="18"/>
  <c r="N23" i="52"/>
  <c r="N22" i="52"/>
  <c r="Z24" i="52"/>
  <c r="AD24" i="52"/>
  <c r="AE24" i="52"/>
  <c r="I368" i="20" l="1"/>
  <c r="G367" i="20"/>
  <c r="J368" i="20"/>
  <c r="K368" i="20"/>
  <c r="AL222" i="18"/>
  <c r="AM223" i="18"/>
  <c r="W224" i="18"/>
  <c r="W223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8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4" i="18"/>
  <c r="AM164" i="18"/>
  <c r="AD23" i="52"/>
  <c r="Z23" i="52"/>
  <c r="AE23" i="52"/>
  <c r="Z22" i="52"/>
  <c r="AD22" i="52"/>
  <c r="AE22" i="52"/>
  <c r="N59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22" i="18"/>
  <c r="W221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7" i="18"/>
  <c r="F117" i="18" s="1"/>
  <c r="G116" i="18"/>
  <c r="F116" i="18" s="1"/>
  <c r="G115" i="18"/>
  <c r="F115" i="18" s="1"/>
  <c r="G114" i="18"/>
  <c r="F114" i="18" s="1"/>
  <c r="G113" i="18"/>
  <c r="F113" i="18" s="1"/>
  <c r="G112" i="18"/>
  <c r="F112" i="18" s="1"/>
  <c r="P33" i="18"/>
  <c r="N33" i="18" s="1"/>
  <c r="P25" i="18"/>
  <c r="N25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20" i="18"/>
  <c r="W219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3" i="18"/>
  <c r="L115" i="18"/>
  <c r="L116" i="18"/>
  <c r="L117" i="18"/>
  <c r="J355" i="20" l="1"/>
  <c r="I355" i="20"/>
  <c r="G354" i="20"/>
  <c r="K355" i="20"/>
  <c r="W218" i="18"/>
  <c r="W217" i="18"/>
  <c r="D303" i="20"/>
  <c r="D302" i="20"/>
  <c r="W216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5" i="18"/>
  <c r="P30" i="18"/>
  <c r="P27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14" i="18"/>
  <c r="N57" i="18"/>
  <c r="M118" i="18" s="1"/>
  <c r="N118" i="18" s="1"/>
  <c r="N55" i="18"/>
  <c r="M117" i="18" s="1"/>
  <c r="I350" i="20" l="1"/>
  <c r="J350" i="20"/>
  <c r="K350" i="20"/>
  <c r="G349" i="20"/>
  <c r="N117" i="18"/>
  <c r="AD14" i="52"/>
  <c r="AE14" i="52"/>
  <c r="AD13" i="52"/>
  <c r="AE13" i="52"/>
  <c r="Z14" i="52"/>
  <c r="D296" i="20"/>
  <c r="D295" i="20"/>
  <c r="K349" i="20" l="1"/>
  <c r="I349" i="20"/>
  <c r="J349" i="20"/>
  <c r="G348" i="20"/>
  <c r="W213" i="18"/>
  <c r="W212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11" i="18"/>
  <c r="W210" i="18"/>
  <c r="G346" i="20" l="1"/>
  <c r="J347" i="20"/>
  <c r="I347" i="20"/>
  <c r="K347" i="20"/>
  <c r="D293" i="20"/>
  <c r="K346" i="20" l="1"/>
  <c r="G345" i="20"/>
  <c r="J346" i="20"/>
  <c r="I346" i="20"/>
  <c r="W209" i="18"/>
  <c r="N56" i="18"/>
  <c r="M116" i="18" s="1"/>
  <c r="N60" i="18"/>
  <c r="K345" i="20" l="1"/>
  <c r="G344" i="20"/>
  <c r="J345" i="20"/>
  <c r="I345" i="20"/>
  <c r="N116" i="18"/>
  <c r="D292" i="20"/>
  <c r="C8" i="36"/>
  <c r="W208" i="18"/>
  <c r="N5" i="52"/>
  <c r="I344" i="20" l="1"/>
  <c r="K344" i="20"/>
  <c r="G343" i="20"/>
  <c r="J344" i="20"/>
  <c r="N52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0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7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7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78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83" i="18"/>
  <c r="W206" i="18"/>
  <c r="D278" i="20"/>
  <c r="J327" i="20" l="1"/>
  <c r="K327" i="20"/>
  <c r="G326" i="20"/>
  <c r="I327" i="20"/>
  <c r="W184" i="18"/>
  <c r="B289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8" i="18"/>
  <c r="I325" i="20" l="1"/>
  <c r="K325" i="20"/>
  <c r="J325" i="20"/>
  <c r="G324" i="20"/>
  <c r="S177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9" i="18"/>
  <c r="G320" i="20" l="1"/>
  <c r="K321" i="20"/>
  <c r="I321" i="20"/>
  <c r="J321" i="20"/>
  <c r="M120" i="18"/>
  <c r="H270" i="20"/>
  <c r="H271" i="20"/>
  <c r="H272" i="20"/>
  <c r="D269" i="20"/>
  <c r="H269" i="20"/>
  <c r="I320" i="20" l="1"/>
  <c r="J320" i="20"/>
  <c r="K320" i="20"/>
  <c r="G319" i="20"/>
  <c r="AL135" i="18"/>
  <c r="S94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0" i="18"/>
  <c r="N131" i="18"/>
  <c r="N132" i="18"/>
  <c r="N133" i="18"/>
  <c r="N134" i="18"/>
  <c r="N135" i="18"/>
  <c r="N136" i="18"/>
  <c r="N137" i="18"/>
  <c r="N129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205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204" i="18"/>
  <c r="AM124" i="18" l="1"/>
  <c r="AL123" i="18"/>
  <c r="AM123" i="18" l="1"/>
  <c r="AL122" i="18"/>
  <c r="AL121" i="18" l="1"/>
  <c r="AM122" i="18"/>
  <c r="W198" i="18"/>
  <c r="W199" i="18"/>
  <c r="W200" i="18"/>
  <c r="W201" i="18"/>
  <c r="W202" i="18"/>
  <c r="W203" i="18"/>
  <c r="W215" i="18"/>
  <c r="W197" i="18"/>
  <c r="AM121" i="18" l="1"/>
  <c r="AL120" i="18"/>
  <c r="N62" i="18"/>
  <c r="AM120" i="18" l="1"/>
  <c r="AL119" i="18"/>
  <c r="AM119" i="18" l="1"/>
  <c r="AL118" i="18"/>
  <c r="T181" i="18"/>
  <c r="S63" i="18"/>
  <c r="S64" i="18" s="1"/>
  <c r="S65" i="18" s="1"/>
  <c r="R202" i="18"/>
  <c r="R200" i="18"/>
  <c r="D57" i="51"/>
  <c r="AL117" i="18" l="1"/>
  <c r="AM118" i="18"/>
  <c r="S66" i="18"/>
  <c r="S67" i="18" s="1"/>
  <c r="AM117" i="18" l="1"/>
  <c r="AL116" i="18"/>
  <c r="S68" i="18"/>
  <c r="S69" i="18" s="1"/>
  <c r="S70" i="18" s="1"/>
  <c r="S71" i="18" s="1"/>
  <c r="S72" i="18" s="1"/>
  <c r="N35" i="18"/>
  <c r="Q85" i="18" s="1"/>
  <c r="S73" i="18" l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R199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4" i="18"/>
  <c r="M115" i="18" s="1"/>
  <c r="N115" i="18" l="1"/>
  <c r="AM112" i="18"/>
  <c r="AL111" i="18"/>
  <c r="D108" i="50"/>
  <c r="AL110" i="18" l="1"/>
  <c r="AM111" i="18"/>
  <c r="N53" i="18"/>
  <c r="AL109" i="18" l="1"/>
  <c r="AM110" i="18"/>
  <c r="N114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0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7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7" i="18"/>
  <c r="M113" i="18" s="1"/>
  <c r="S46" i="18" l="1"/>
  <c r="S47" i="18" s="1"/>
  <c r="AL99" i="18"/>
  <c r="AM100" i="18"/>
  <c r="N113" i="18"/>
  <c r="AL200" i="18"/>
  <c r="AM201" i="18"/>
  <c r="S48" i="18" l="1"/>
  <c r="S49" i="18" s="1"/>
  <c r="AM99" i="18"/>
  <c r="AL98" i="18"/>
  <c r="AL199" i="18"/>
  <c r="AM200" i="18"/>
  <c r="P67" i="18"/>
  <c r="S50" i="18" l="1"/>
  <c r="S51" i="18" s="1"/>
  <c r="S52" i="18" s="1"/>
  <c r="S53" i="18" s="1"/>
  <c r="S54" i="18" s="1"/>
  <c r="S55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8" i="18" s="1"/>
  <c r="AJ245" i="18" l="1"/>
  <c r="AJ246" i="18" s="1"/>
  <c r="R198" i="18"/>
  <c r="AM94" i="18"/>
  <c r="AL93" i="18"/>
  <c r="AL194" i="18"/>
  <c r="AM195" i="18"/>
  <c r="AL92" i="18" l="1"/>
  <c r="AM93" i="18"/>
  <c r="AL193" i="18"/>
  <c r="AM194" i="18"/>
  <c r="S95" i="18"/>
  <c r="S96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7" i="18"/>
  <c r="AL85" i="18" l="1"/>
  <c r="AM86" i="18"/>
  <c r="S98" i="18"/>
  <c r="S99" i="18" s="1"/>
  <c r="S100" i="18" s="1"/>
  <c r="S101" i="18" s="1"/>
  <c r="S102" i="18" s="1"/>
  <c r="S103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4" i="18"/>
  <c r="S105" i="18" s="1"/>
  <c r="S106" i="18" s="1"/>
  <c r="S107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41" i="18" l="1"/>
  <c r="AN241" i="18" s="1"/>
  <c r="AJ244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47" i="18" l="1"/>
  <c r="AJ248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8" i="18" l="1"/>
  <c r="AL77" i="18"/>
  <c r="AM78" i="18"/>
  <c r="N67" i="18"/>
  <c r="G307" i="20" l="1"/>
  <c r="K308" i="20"/>
  <c r="J308" i="20"/>
  <c r="I308" i="20"/>
  <c r="S109" i="18"/>
  <c r="S110" i="18" s="1"/>
  <c r="S111" i="18" s="1"/>
  <c r="S112" i="18" s="1"/>
  <c r="S113" i="18" s="1"/>
  <c r="AL76" i="18"/>
  <c r="AM77" i="18"/>
  <c r="G306" i="20" l="1"/>
  <c r="J307" i="20"/>
  <c r="I307" i="20"/>
  <c r="K307" i="20"/>
  <c r="S114" i="18"/>
  <c r="S115" i="18" s="1"/>
  <c r="AL75" i="18"/>
  <c r="AM76" i="18"/>
  <c r="N61" i="18"/>
  <c r="Q173" i="18" s="1"/>
  <c r="M112" i="18" l="1"/>
  <c r="N112" i="18" s="1"/>
  <c r="N123" i="18" s="1"/>
  <c r="AJ171" i="18"/>
  <c r="AJ172" i="18" s="1"/>
  <c r="R197" i="18"/>
  <c r="R207" i="18" s="1"/>
  <c r="S116" i="18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S129" i="18" s="1"/>
  <c r="S130" i="18" s="1"/>
  <c r="S131" i="18" s="1"/>
  <c r="S132" i="18" s="1"/>
  <c r="S133" i="18" s="1"/>
  <c r="G305" i="20"/>
  <c r="I306" i="20"/>
  <c r="K306" i="20"/>
  <c r="J306" i="20"/>
  <c r="AL74" i="18"/>
  <c r="AM75" i="18"/>
  <c r="V268" i="18" l="1"/>
  <c r="S186" i="18"/>
  <c r="U278" i="18"/>
  <c r="G304" i="20"/>
  <c r="I305" i="20"/>
  <c r="K305" i="20"/>
  <c r="J305" i="20"/>
  <c r="S134" i="18"/>
  <c r="AL73" i="18"/>
  <c r="AM74" i="18"/>
  <c r="N93" i="18"/>
  <c r="V83" i="18" l="1"/>
  <c r="V82" i="18"/>
  <c r="V55" i="18"/>
  <c r="V54" i="18"/>
  <c r="V53" i="18"/>
  <c r="W53" i="18" s="1"/>
  <c r="V81" i="18"/>
  <c r="V52" i="18"/>
  <c r="X52" i="18" s="1"/>
  <c r="V80" i="18"/>
  <c r="V76" i="18"/>
  <c r="V79" i="18"/>
  <c r="V77" i="18"/>
  <c r="V78" i="18"/>
  <c r="U186" i="18"/>
  <c r="V186" i="18" s="1"/>
  <c r="V75" i="18"/>
  <c r="X75" i="18" s="1"/>
  <c r="V51" i="18"/>
  <c r="V50" i="18"/>
  <c r="X50" i="18" s="1"/>
  <c r="V74" i="18"/>
  <c r="V73" i="18"/>
  <c r="V49" i="18"/>
  <c r="V48" i="18"/>
  <c r="V72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5" i="18"/>
  <c r="S136" i="18" s="1"/>
  <c r="V33" i="18"/>
  <c r="W33" i="18" s="1"/>
  <c r="V34" i="18"/>
  <c r="V35" i="18"/>
  <c r="V57" i="18"/>
  <c r="V36" i="18"/>
  <c r="V32" i="18"/>
  <c r="X32" i="18" s="1"/>
  <c r="V71" i="18"/>
  <c r="G303" i="20"/>
  <c r="K304" i="20"/>
  <c r="I304" i="20"/>
  <c r="J304" i="20"/>
  <c r="V278" i="18"/>
  <c r="V31" i="18"/>
  <c r="W31" i="18" s="1"/>
  <c r="V70" i="18"/>
  <c r="V134" i="18"/>
  <c r="V132" i="18"/>
  <c r="V131" i="18"/>
  <c r="V130" i="18"/>
  <c r="V133" i="18"/>
  <c r="V127" i="18"/>
  <c r="W127" i="18" s="1"/>
  <c r="V129" i="18"/>
  <c r="V128" i="18"/>
  <c r="V126" i="18"/>
  <c r="V125" i="18"/>
  <c r="V30" i="18"/>
  <c r="W30" i="18" s="1"/>
  <c r="V69" i="18"/>
  <c r="V123" i="18"/>
  <c r="V124" i="18"/>
  <c r="V121" i="18"/>
  <c r="V120" i="18"/>
  <c r="V119" i="18"/>
  <c r="V118" i="18"/>
  <c r="V115" i="18"/>
  <c r="V117" i="18"/>
  <c r="V116" i="18"/>
  <c r="V122" i="18"/>
  <c r="V172" i="18"/>
  <c r="V113" i="18"/>
  <c r="W113" i="18" s="1"/>
  <c r="V114" i="18"/>
  <c r="V29" i="18"/>
  <c r="W29" i="18" s="1"/>
  <c r="V68" i="18"/>
  <c r="V111" i="18"/>
  <c r="W111" i="18" s="1"/>
  <c r="V112" i="18"/>
  <c r="V108" i="18"/>
  <c r="W108" i="18" s="1"/>
  <c r="V110" i="18"/>
  <c r="V109" i="18"/>
  <c r="V107" i="18"/>
  <c r="W107" i="18" s="1"/>
  <c r="V106" i="18"/>
  <c r="V28" i="18"/>
  <c r="V27" i="18"/>
  <c r="W27" i="18" s="1"/>
  <c r="V67" i="18"/>
  <c r="V26" i="18"/>
  <c r="X26" i="18" s="1"/>
  <c r="V66" i="18"/>
  <c r="V84" i="18"/>
  <c r="V65" i="18"/>
  <c r="V105" i="18"/>
  <c r="V64" i="18"/>
  <c r="V104" i="18"/>
  <c r="V25" i="18"/>
  <c r="V103" i="18"/>
  <c r="V24" i="18"/>
  <c r="V22" i="18"/>
  <c r="V23" i="18"/>
  <c r="W23" i="18" s="1"/>
  <c r="V102" i="18"/>
  <c r="V101" i="18"/>
  <c r="V100" i="18"/>
  <c r="V21" i="18"/>
  <c r="V99" i="18"/>
  <c r="V98" i="18"/>
  <c r="V96" i="18"/>
  <c r="V97" i="18"/>
  <c r="V93" i="18"/>
  <c r="V20" i="18"/>
  <c r="V94" i="18"/>
  <c r="V95" i="18"/>
  <c r="AL72" i="18"/>
  <c r="AM73" i="18"/>
  <c r="W82" i="18" l="1"/>
  <c r="X82" i="18"/>
  <c r="W83" i="18"/>
  <c r="X83" i="18"/>
  <c r="W54" i="18"/>
  <c r="X54" i="18"/>
  <c r="W55" i="18"/>
  <c r="X55" i="18"/>
  <c r="X53" i="18"/>
  <c r="W81" i="18"/>
  <c r="X81" i="18"/>
  <c r="W52" i="18"/>
  <c r="W80" i="18"/>
  <c r="X80" i="18"/>
  <c r="W77" i="18"/>
  <c r="X77" i="18"/>
  <c r="W79" i="18"/>
  <c r="X79" i="18"/>
  <c r="W78" i="18"/>
  <c r="X78" i="18"/>
  <c r="W76" i="18"/>
  <c r="X76" i="18"/>
  <c r="W75" i="18"/>
  <c r="W51" i="18"/>
  <c r="X51" i="18"/>
  <c r="W50" i="18"/>
  <c r="X74" i="18"/>
  <c r="W74" i="18"/>
  <c r="W73" i="18"/>
  <c r="X73" i="18"/>
  <c r="X48" i="18"/>
  <c r="W48" i="18"/>
  <c r="W49" i="18"/>
  <c r="X49" i="18"/>
  <c r="W72" i="18"/>
  <c r="X72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5" i="18"/>
  <c r="X135" i="18" s="1"/>
  <c r="S137" i="18"/>
  <c r="V136" i="18"/>
  <c r="W136" i="18" s="1"/>
  <c r="X33" i="18"/>
  <c r="W57" i="18"/>
  <c r="X57" i="18"/>
  <c r="W34" i="18"/>
  <c r="X34" i="18"/>
  <c r="W35" i="18"/>
  <c r="X35" i="18"/>
  <c r="X36" i="18"/>
  <c r="W36" i="18"/>
  <c r="W32" i="18"/>
  <c r="X71" i="18"/>
  <c r="W71" i="18"/>
  <c r="S185" i="18"/>
  <c r="G302" i="20"/>
  <c r="K303" i="20"/>
  <c r="I303" i="20"/>
  <c r="J303" i="20"/>
  <c r="X31" i="18"/>
  <c r="W70" i="18"/>
  <c r="X70" i="18"/>
  <c r="X127" i="18"/>
  <c r="W130" i="18"/>
  <c r="X130" i="18"/>
  <c r="W132" i="18"/>
  <c r="X132" i="18"/>
  <c r="X133" i="18"/>
  <c r="W133" i="18"/>
  <c r="W131" i="18"/>
  <c r="X131" i="18"/>
  <c r="W134" i="18"/>
  <c r="X134" i="18"/>
  <c r="W128" i="18"/>
  <c r="X128" i="18"/>
  <c r="W129" i="18"/>
  <c r="X129" i="18"/>
  <c r="X30" i="18"/>
  <c r="W125" i="18"/>
  <c r="X125" i="18"/>
  <c r="W126" i="18"/>
  <c r="X126" i="18"/>
  <c r="W69" i="18"/>
  <c r="X69" i="18"/>
  <c r="W124" i="18"/>
  <c r="X124" i="18"/>
  <c r="W123" i="18"/>
  <c r="X123" i="18"/>
  <c r="X120" i="18"/>
  <c r="W120" i="18"/>
  <c r="W121" i="18"/>
  <c r="X121" i="18"/>
  <c r="W118" i="18"/>
  <c r="X118" i="18"/>
  <c r="W119" i="18"/>
  <c r="X119" i="18"/>
  <c r="W172" i="18"/>
  <c r="X172" i="18"/>
  <c r="W117" i="18"/>
  <c r="X117" i="18"/>
  <c r="X122" i="18"/>
  <c r="W122" i="18"/>
  <c r="W116" i="18"/>
  <c r="X116" i="18"/>
  <c r="W115" i="18"/>
  <c r="X115" i="18"/>
  <c r="X113" i="18"/>
  <c r="W114" i="18"/>
  <c r="X114" i="18"/>
  <c r="X29" i="18"/>
  <c r="W68" i="18"/>
  <c r="X68" i="18"/>
  <c r="X111" i="18"/>
  <c r="W112" i="18"/>
  <c r="X112" i="18"/>
  <c r="X108" i="18"/>
  <c r="W109" i="18"/>
  <c r="X109" i="18"/>
  <c r="W110" i="18"/>
  <c r="X110" i="18"/>
  <c r="X107" i="18"/>
  <c r="W106" i="18"/>
  <c r="X106" i="18"/>
  <c r="W28" i="18"/>
  <c r="X28" i="18"/>
  <c r="X27" i="18"/>
  <c r="W67" i="18"/>
  <c r="X67" i="18"/>
  <c r="W26" i="18"/>
  <c r="W66" i="18"/>
  <c r="X66" i="18"/>
  <c r="W65" i="18"/>
  <c r="X65" i="18"/>
  <c r="W84" i="18"/>
  <c r="X84" i="18"/>
  <c r="S184" i="18"/>
  <c r="S183" i="18"/>
  <c r="U183" i="18" s="1"/>
  <c r="W105" i="18"/>
  <c r="X105" i="18"/>
  <c r="X64" i="18"/>
  <c r="W64" i="18"/>
  <c r="W98" i="18"/>
  <c r="X98" i="18"/>
  <c r="W100" i="18"/>
  <c r="X100" i="18"/>
  <c r="W103" i="18"/>
  <c r="X103" i="18"/>
  <c r="W95" i="18"/>
  <c r="X95" i="18"/>
  <c r="W101" i="18"/>
  <c r="X101" i="18"/>
  <c r="X23" i="18"/>
  <c r="W25" i="18"/>
  <c r="X25" i="18"/>
  <c r="W20" i="18"/>
  <c r="X20" i="18"/>
  <c r="W97" i="18"/>
  <c r="X97" i="18"/>
  <c r="W22" i="18"/>
  <c r="X22" i="18"/>
  <c r="X104" i="18"/>
  <c r="W104" i="18"/>
  <c r="W94" i="18"/>
  <c r="X94" i="18"/>
  <c r="W93" i="18"/>
  <c r="X93" i="18"/>
  <c r="W99" i="18"/>
  <c r="X99" i="18"/>
  <c r="W96" i="18"/>
  <c r="X96" i="18"/>
  <c r="X21" i="18"/>
  <c r="W21" i="18"/>
  <c r="W102" i="18"/>
  <c r="X102" i="18"/>
  <c r="W24" i="18"/>
  <c r="X24" i="18"/>
  <c r="AL71" i="18"/>
  <c r="AM72" i="18"/>
  <c r="U185" i="18" l="1"/>
  <c r="V185" i="18" s="1"/>
  <c r="N38" i="18"/>
  <c r="L21" i="18" s="1"/>
  <c r="U184" i="18"/>
  <c r="V184" i="18" s="1"/>
  <c r="W135" i="18"/>
  <c r="X136" i="18"/>
  <c r="S138" i="18"/>
  <c r="V137" i="18"/>
  <c r="N70" i="18"/>
  <c r="G301" i="20"/>
  <c r="I302" i="20"/>
  <c r="K302" i="20"/>
  <c r="J302" i="20"/>
  <c r="AL70" i="18"/>
  <c r="AM71" i="18"/>
  <c r="X137" i="18" l="1"/>
  <c r="W137" i="18"/>
  <c r="S139" i="18"/>
  <c r="V138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8" i="18" l="1"/>
  <c r="X138" i="18"/>
  <c r="S140" i="18"/>
  <c r="S141" i="18" s="1"/>
  <c r="V139" i="18"/>
  <c r="G299" i="20"/>
  <c r="I300" i="20"/>
  <c r="K300" i="20"/>
  <c r="J300" i="20"/>
  <c r="AL68" i="18"/>
  <c r="AM69" i="18"/>
  <c r="N2" i="33"/>
  <c r="W139" i="18" l="1"/>
  <c r="X139" i="18"/>
  <c r="V140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40" i="18" l="1"/>
  <c r="W140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42" i="18"/>
  <c r="V141" i="18"/>
  <c r="I297" i="20"/>
  <c r="K297" i="20"/>
  <c r="J297" i="20"/>
  <c r="G296" i="20"/>
  <c r="AL65" i="18"/>
  <c r="AM66" i="18"/>
  <c r="E59" i="14" l="1"/>
  <c r="G60" i="14"/>
  <c r="X141" i="18"/>
  <c r="W141" i="18"/>
  <c r="S143" i="18"/>
  <c r="V142" i="18"/>
  <c r="G295" i="20"/>
  <c r="K296" i="20"/>
  <c r="I296" i="20"/>
  <c r="J296" i="20"/>
  <c r="AL64" i="18"/>
  <c r="AM65" i="18"/>
  <c r="E58" i="14" l="1"/>
  <c r="G59" i="14"/>
  <c r="W142" i="18"/>
  <c r="X142" i="18"/>
  <c r="S144" i="18"/>
  <c r="V143" i="18"/>
  <c r="G294" i="20"/>
  <c r="K295" i="20"/>
  <c r="J295" i="20"/>
  <c r="I295" i="20"/>
  <c r="AM64" i="18"/>
  <c r="AL63" i="18"/>
  <c r="G58" i="14" l="1"/>
  <c r="E57" i="14"/>
  <c r="W143" i="18"/>
  <c r="X143" i="18"/>
  <c r="V144" i="18"/>
  <c r="S145" i="18"/>
  <c r="G293" i="20"/>
  <c r="I294" i="20"/>
  <c r="J294" i="20"/>
  <c r="K294" i="20"/>
  <c r="AL62" i="18"/>
  <c r="AM63" i="18"/>
  <c r="G57" i="14" l="1"/>
  <c r="E56" i="14"/>
  <c r="S146" i="18"/>
  <c r="S147" i="18" s="1"/>
  <c r="V145" i="18"/>
  <c r="W144" i="18"/>
  <c r="X144" i="18"/>
  <c r="G292" i="20"/>
  <c r="K293" i="20"/>
  <c r="J293" i="20"/>
  <c r="I293" i="20"/>
  <c r="AL61" i="18"/>
  <c r="AM62" i="18"/>
  <c r="E55" i="14" l="1"/>
  <c r="G56" i="14"/>
  <c r="V146" i="18"/>
  <c r="X146" i="18" s="1"/>
  <c r="X145" i="18"/>
  <c r="W145" i="18"/>
  <c r="J292" i="20"/>
  <c r="I292" i="20"/>
  <c r="G291" i="20"/>
  <c r="K292" i="20"/>
  <c r="AM61" i="18"/>
  <c r="AL60" i="18"/>
  <c r="E54" i="14" l="1"/>
  <c r="G55" i="14"/>
  <c r="W146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7" i="18"/>
  <c r="W147" i="18" s="1"/>
  <c r="S148" i="18"/>
  <c r="J290" i="20"/>
  <c r="G289" i="20"/>
  <c r="I290" i="20"/>
  <c r="K290" i="20"/>
  <c r="AM59" i="18"/>
  <c r="AL58" i="18"/>
  <c r="G53" i="14" l="1"/>
  <c r="E52" i="14"/>
  <c r="X147" i="18"/>
  <c r="S149" i="18"/>
  <c r="S150" i="18" s="1"/>
  <c r="S151" i="18" s="1"/>
  <c r="S152" i="18" s="1"/>
  <c r="S153" i="18" s="1"/>
  <c r="V148" i="18"/>
  <c r="G288" i="20"/>
  <c r="K289" i="20"/>
  <c r="J289" i="20"/>
  <c r="I289" i="20"/>
  <c r="AL57" i="18"/>
  <c r="AM58" i="18"/>
  <c r="E51" i="14" l="1"/>
  <c r="G52" i="14"/>
  <c r="V151" i="18"/>
  <c r="W148" i="18"/>
  <c r="X148" i="18"/>
  <c r="V149" i="18"/>
  <c r="J288" i="20"/>
  <c r="K288" i="20"/>
  <c r="G287" i="20"/>
  <c r="I288" i="20"/>
  <c r="AL56" i="18"/>
  <c r="AM57" i="18"/>
  <c r="B105" i="13"/>
  <c r="B196" i="13" s="1"/>
  <c r="G51" i="14" l="1"/>
  <c r="E50" i="14"/>
  <c r="W151" i="18"/>
  <c r="X151" i="18"/>
  <c r="W149" i="18"/>
  <c r="X149" i="18"/>
  <c r="V150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50" i="18"/>
  <c r="X150" i="18"/>
  <c r="G285" i="20"/>
  <c r="J286" i="20"/>
  <c r="I286" i="20"/>
  <c r="K286" i="20"/>
  <c r="AM55" i="18"/>
  <c r="AL54" i="18"/>
  <c r="G49" i="14" l="1"/>
  <c r="E48" i="14"/>
  <c r="V152" i="18"/>
  <c r="G284" i="20"/>
  <c r="K285" i="20"/>
  <c r="J285" i="20"/>
  <c r="I285" i="20"/>
  <c r="AL53" i="18"/>
  <c r="AM54" i="18"/>
  <c r="G48" i="14" l="1"/>
  <c r="E47" i="14"/>
  <c r="W152" i="18"/>
  <c r="X152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53" i="18"/>
  <c r="W153" i="18" s="1"/>
  <c r="S154" i="18"/>
  <c r="S155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6" i="18"/>
  <c r="S157" i="18" s="1"/>
  <c r="V155" i="18"/>
  <c r="X153" i="18"/>
  <c r="V154" i="18"/>
  <c r="K280" i="20"/>
  <c r="G279" i="20"/>
  <c r="J280" i="20"/>
  <c r="I280" i="20"/>
  <c r="AL48" i="18"/>
  <c r="AM49" i="18"/>
  <c r="E248" i="15"/>
  <c r="G43" i="14" l="1"/>
  <c r="E42" i="14"/>
  <c r="V156" i="18"/>
  <c r="X156" i="18" s="1"/>
  <c r="W155" i="18"/>
  <c r="X155" i="18"/>
  <c r="W154" i="18"/>
  <c r="X154" i="18"/>
  <c r="J279" i="20"/>
  <c r="I279" i="20"/>
  <c r="G278" i="20"/>
  <c r="K279" i="20"/>
  <c r="AL47" i="18"/>
  <c r="AM48" i="18"/>
  <c r="E247" i="15"/>
  <c r="E246" i="15"/>
  <c r="G42" i="14" l="1"/>
  <c r="E41" i="14"/>
  <c r="W156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8" i="18"/>
  <c r="S159" i="18" s="1"/>
  <c r="V157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8" i="18"/>
  <c r="X158" i="18" s="1"/>
  <c r="W157" i="18"/>
  <c r="X157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8" i="18"/>
  <c r="G272" i="20"/>
  <c r="J273" i="20"/>
  <c r="K273" i="20"/>
  <c r="I273" i="20"/>
  <c r="AL41" i="18"/>
  <c r="AM42" i="18"/>
  <c r="G36" i="14" l="1"/>
  <c r="E35" i="14"/>
  <c r="V159" i="18"/>
  <c r="W159" i="18" s="1"/>
  <c r="S160" i="18"/>
  <c r="J272" i="20"/>
  <c r="K272" i="20"/>
  <c r="I272" i="20"/>
  <c r="G271" i="20"/>
  <c r="AM41" i="18"/>
  <c r="AL40" i="18"/>
  <c r="G35" i="14" l="1"/>
  <c r="E34" i="14"/>
  <c r="V160" i="18"/>
  <c r="W160" i="18" s="1"/>
  <c r="S161" i="18"/>
  <c r="X159" i="18"/>
  <c r="G270" i="20"/>
  <c r="I271" i="20"/>
  <c r="J271" i="20"/>
  <c r="K271" i="20"/>
  <c r="AL39" i="18"/>
  <c r="AM40" i="18"/>
  <c r="E243" i="15"/>
  <c r="G34" i="14" l="1"/>
  <c r="E33" i="14"/>
  <c r="V161" i="18"/>
  <c r="W161" i="18" s="1"/>
  <c r="S162" i="18"/>
  <c r="X160" i="18"/>
  <c r="G269" i="20"/>
  <c r="J270" i="20"/>
  <c r="K270" i="20"/>
  <c r="I270" i="20"/>
  <c r="AM39" i="18"/>
  <c r="AL38" i="18"/>
  <c r="E242" i="15"/>
  <c r="E32" i="14" l="1"/>
  <c r="G33" i="14"/>
  <c r="X161" i="18"/>
  <c r="S163" i="18"/>
  <c r="V162" i="18"/>
  <c r="I269" i="20"/>
  <c r="K269" i="20"/>
  <c r="J269" i="20"/>
  <c r="G268" i="20"/>
  <c r="AL37" i="18"/>
  <c r="AM38" i="18"/>
  <c r="J57" i="33"/>
  <c r="J55" i="33"/>
  <c r="J54" i="33"/>
  <c r="G32" i="14" l="1"/>
  <c r="E31" i="14"/>
  <c r="W162" i="18"/>
  <c r="X162" i="18"/>
  <c r="S164" i="18"/>
  <c r="V163" i="18"/>
  <c r="J268" i="20"/>
  <c r="I268" i="20"/>
  <c r="G267" i="20"/>
  <c r="K268" i="20"/>
  <c r="AL36" i="18"/>
  <c r="AM37" i="18"/>
  <c r="L57" i="33"/>
  <c r="E241" i="15"/>
  <c r="G31" i="14" l="1"/>
  <c r="E30" i="14"/>
  <c r="S165" i="18"/>
  <c r="V164" i="18"/>
  <c r="W163" i="18"/>
  <c r="X163" i="18"/>
  <c r="I267" i="20"/>
  <c r="K267" i="20"/>
  <c r="G266" i="20"/>
  <c r="J267" i="20"/>
  <c r="AM36" i="18"/>
  <c r="AL35" i="18"/>
  <c r="D168" i="20"/>
  <c r="E29" i="14" l="1"/>
  <c r="G30" i="14"/>
  <c r="V165" i="18"/>
  <c r="W165" i="18" s="1"/>
  <c r="S166" i="18"/>
  <c r="W164" i="18"/>
  <c r="X164" i="18"/>
  <c r="J266" i="20"/>
  <c r="G265" i="20"/>
  <c r="K266" i="20"/>
  <c r="I266" i="20"/>
  <c r="AL34" i="18"/>
  <c r="AM35" i="18"/>
  <c r="E240" i="15"/>
  <c r="E239" i="15"/>
  <c r="V166" i="18" l="1"/>
  <c r="W166" i="18" s="1"/>
  <c r="S167" i="18"/>
  <c r="X165" i="18"/>
  <c r="G29" i="14"/>
  <c r="E28" i="14"/>
  <c r="K265" i="20"/>
  <c r="G264" i="20"/>
  <c r="J265" i="20"/>
  <c r="I265" i="20"/>
  <c r="D259" i="15"/>
  <c r="AL33" i="18"/>
  <c r="AM34" i="18"/>
  <c r="V167" i="18" l="1"/>
  <c r="X167" i="18" s="1"/>
  <c r="S168" i="18"/>
  <c r="X166" i="18"/>
  <c r="W167" i="18"/>
  <c r="E27" i="14"/>
  <c r="G28" i="14"/>
  <c r="G263" i="20"/>
  <c r="K264" i="20"/>
  <c r="J264" i="20"/>
  <c r="I264" i="20"/>
  <c r="D258" i="15"/>
  <c r="F259" i="15"/>
  <c r="AL32" i="18"/>
  <c r="AM33" i="18"/>
  <c r="V168" i="18" l="1"/>
  <c r="W168" i="18" s="1"/>
  <c r="S169" i="18"/>
  <c r="V169" i="18" s="1"/>
  <c r="X168" i="18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W169" i="18" l="1"/>
  <c r="X169" i="18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697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N1544" i="41" s="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128" i="41"/>
  <c r="N200" i="41"/>
  <c r="N240" i="41"/>
  <c r="N280" i="41"/>
  <c r="N368" i="41"/>
  <c r="N448" i="41"/>
  <c r="N528" i="41"/>
  <c r="N560" i="41"/>
  <c r="N568" i="41"/>
  <c r="N579" i="41"/>
  <c r="N608" i="41"/>
  <c r="N611" i="41"/>
  <c r="N635" i="41"/>
  <c r="N656" i="41"/>
  <c r="N688" i="41"/>
  <c r="N736" i="41"/>
  <c r="N883" i="41"/>
  <c r="N888" i="41"/>
  <c r="N915" i="41"/>
  <c r="N995" i="41"/>
  <c r="N1000" i="41"/>
  <c r="N1008" i="41"/>
  <c r="N1088" i="41"/>
  <c r="N1128" i="41"/>
  <c r="N1243" i="41"/>
  <c r="N1251" i="41"/>
  <c r="N2243" i="41"/>
  <c r="K2337" i="41"/>
  <c r="N10" i="41"/>
  <c r="N15" i="41"/>
  <c r="N31" i="41"/>
  <c r="N66" i="41"/>
  <c r="N95" i="41"/>
  <c r="N103" i="41"/>
  <c r="N143" i="41"/>
  <c r="N151" i="41"/>
  <c r="N175" i="41"/>
  <c r="N191" i="41"/>
  <c r="N210" i="41"/>
  <c r="N215" i="41"/>
  <c r="N239" i="41"/>
  <c r="N250" i="41"/>
  <c r="N263" i="41"/>
  <c r="N271" i="41"/>
  <c r="N288" i="41"/>
  <c r="N320" i="41"/>
  <c r="N328" i="41"/>
  <c r="N330" i="41"/>
  <c r="N360" i="41"/>
  <c r="N370" i="41"/>
  <c r="N383" i="41"/>
  <c r="N410" i="41"/>
  <c r="N423" i="41"/>
  <c r="N431" i="41"/>
  <c r="N440" i="41"/>
  <c r="N471" i="41"/>
  <c r="N480" i="41"/>
  <c r="N520" i="41"/>
  <c r="N535" i="41"/>
  <c r="N538" i="41"/>
  <c r="N570" i="41"/>
  <c r="N591" i="41"/>
  <c r="N618" i="41"/>
  <c r="N631" i="41"/>
  <c r="N641" i="41"/>
  <c r="N658" i="41"/>
  <c r="N696" i="41"/>
  <c r="N698" i="41"/>
  <c r="N703" i="41"/>
  <c r="N746" i="41"/>
  <c r="N775" i="41"/>
  <c r="N783" i="41"/>
  <c r="N784" i="41"/>
  <c r="N800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1013" i="41"/>
  <c r="N1023" i="41"/>
  <c r="N1055" i="41"/>
  <c r="N1063" i="41"/>
  <c r="N1073" i="41"/>
  <c r="N1103" i="41"/>
  <c r="N1104" i="41"/>
  <c r="N1113" i="41"/>
  <c r="N1143" i="41"/>
  <c r="N1151" i="41"/>
  <c r="N1183" i="41"/>
  <c r="N1191" i="41"/>
  <c r="N1223" i="41"/>
  <c r="N1231" i="41"/>
  <c r="N1240" i="41"/>
  <c r="N1255" i="41"/>
  <c r="N1263" i="41"/>
  <c r="N1271" i="41"/>
  <c r="N1280" i="41"/>
  <c r="N1295" i="41"/>
  <c r="N1311" i="41"/>
  <c r="N1320" i="41"/>
  <c r="N1328" i="41"/>
  <c r="N1330" i="41"/>
  <c r="N1338" i="41"/>
  <c r="N1346" i="41"/>
  <c r="N1360" i="41"/>
  <c r="N1378" i="41"/>
  <c r="N1383" i="41"/>
  <c r="N1386" i="41"/>
  <c r="N1400" i="41"/>
  <c r="N1408" i="41"/>
  <c r="N1410" i="41"/>
  <c r="N1418" i="41"/>
  <c r="N1423" i="41"/>
  <c r="N1426" i="41"/>
  <c r="N1431" i="41"/>
  <c r="N1448" i="41"/>
  <c r="N1455" i="41"/>
  <c r="N1458" i="41"/>
  <c r="N1463" i="41"/>
  <c r="N1480" i="41"/>
  <c r="N1488" i="41"/>
  <c r="N1490" i="41"/>
  <c r="N1495" i="41"/>
  <c r="N1496" i="41"/>
  <c r="N1519" i="41"/>
  <c r="N1528" i="41"/>
  <c r="N1543" i="41"/>
  <c r="N1548" i="41"/>
  <c r="N1583" i="41"/>
  <c r="N1600" i="41"/>
  <c r="N1616" i="41"/>
  <c r="N1623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48" i="41"/>
  <c r="N1855" i="41"/>
  <c r="N1856" i="41"/>
  <c r="N1863" i="41"/>
  <c r="N1866" i="41"/>
  <c r="N1895" i="41"/>
  <c r="N1903" i="41"/>
  <c r="N1904" i="41"/>
  <c r="N1943" i="41"/>
  <c r="N1951" i="41"/>
  <c r="N1959" i="41"/>
  <c r="N1968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46" i="41"/>
  <c r="N2151" i="41"/>
  <c r="N2160" i="41"/>
  <c r="N2168" i="41"/>
  <c r="N2175" i="41"/>
  <c r="N2208" i="41"/>
  <c r="N2215" i="41"/>
  <c r="N2216" i="41"/>
  <c r="N2255" i="41"/>
  <c r="N2266" i="41"/>
  <c r="N2271" i="41"/>
  <c r="N2288" i="41"/>
  <c r="N2295" i="41"/>
  <c r="N2311" i="41"/>
  <c r="N2330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 s="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 s="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512" i="41" l="1"/>
  <c r="L1372" i="41"/>
  <c r="L1212" i="41"/>
  <c r="N1212" i="41" s="1"/>
  <c r="L1052" i="41"/>
  <c r="L2112" i="41"/>
  <c r="N2112" i="41" s="1"/>
  <c r="L1832" i="4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L1902" i="41"/>
  <c r="L1742" i="41"/>
  <c r="L262" i="41"/>
  <c r="L42" i="41"/>
  <c r="L1157" i="41"/>
  <c r="L2387" i="41"/>
  <c r="N2387" i="41" s="1"/>
  <c r="L2357" i="41"/>
  <c r="L2277" i="41"/>
  <c r="L2217" i="41"/>
  <c r="L2197" i="41"/>
  <c r="L2157" i="41"/>
  <c r="L1582" i="41"/>
  <c r="L1562" i="41"/>
  <c r="N1562" i="41" s="1"/>
  <c r="L1522" i="41"/>
  <c r="L1482" i="41"/>
  <c r="L1442" i="41"/>
  <c r="L1422" i="41"/>
  <c r="L1362" i="41"/>
  <c r="L1322" i="41"/>
  <c r="L1302" i="41"/>
  <c r="L1282" i="41"/>
  <c r="L1232" i="41"/>
  <c r="L597" i="41"/>
  <c r="L437" i="41"/>
  <c r="L397" i="41"/>
  <c r="L1942" i="41"/>
  <c r="L1937" i="41"/>
  <c r="N1937" i="41" s="1"/>
  <c r="L1797" i="41"/>
  <c r="L1757" i="41"/>
  <c r="L1112" i="41"/>
  <c r="L1102" i="41"/>
  <c r="L2102" i="41"/>
  <c r="L1922" i="41"/>
  <c r="L1882" i="41"/>
  <c r="N1882" i="41" s="1"/>
  <c r="L62" i="41"/>
  <c r="L1992" i="41"/>
  <c r="N1992" i="41" s="1"/>
  <c r="L1852" i="41"/>
  <c r="L1997" i="41"/>
  <c r="N2207" i="41"/>
  <c r="L2027" i="41"/>
  <c r="L1887" i="41"/>
  <c r="L1707" i="41"/>
  <c r="N1567" i="41"/>
  <c r="L1067" i="41"/>
  <c r="L2382" i="41"/>
  <c r="L1617" i="41"/>
  <c r="L1577" i="41"/>
  <c r="L1417" i="41"/>
  <c r="L882" i="41"/>
  <c r="L862" i="41"/>
  <c r="L842" i="41"/>
  <c r="N842" i="41" s="1"/>
  <c r="L802" i="41"/>
  <c r="L662" i="41"/>
  <c r="L642" i="41"/>
  <c r="L622" i="41"/>
  <c r="L602" i="41"/>
  <c r="L592" i="41"/>
  <c r="N592" i="41" s="1"/>
  <c r="L582" i="41"/>
  <c r="L552" i="41"/>
  <c r="N552" i="41" s="1"/>
  <c r="L512" i="4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N2317" i="41" s="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N1082" i="41" s="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N1877" i="41" s="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N2002" i="41" s="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3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4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3" i="18" l="1"/>
  <c r="F24" i="18" s="1"/>
  <c r="G113" i="20"/>
  <c r="J114" i="20"/>
  <c r="I114" i="20"/>
  <c r="K114" i="20"/>
  <c r="L74" i="18"/>
  <c r="E33" i="13"/>
  <c r="G34" i="13"/>
  <c r="F108" i="15"/>
  <c r="C20" i="18"/>
  <c r="G20" i="14"/>
  <c r="G21" i="14"/>
  <c r="G112" i="20" l="1"/>
  <c r="K113" i="20"/>
  <c r="J113" i="20"/>
  <c r="I113" i="20"/>
  <c r="L75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9" i="15"/>
  <c r="F292" i="15" s="1"/>
  <c r="G6" i="20" l="1"/>
  <c r="J7" i="20"/>
  <c r="K7" i="20"/>
  <c r="I7" i="20"/>
  <c r="V183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<sst xmlns="http://schemas.openxmlformats.org/spreadsheetml/2006/main" count="11781" uniqueCount="5067">
  <si>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</si>
  <si>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</si>
  <si>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</si>
  <si>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</si>
  <si>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</si>
  <si>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</si>
  <si>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</si>
  <si>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</si>
  <si>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</si>
  <si>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</si>
  <si>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</si>
  <si>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</si>
  <si>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</si>
  <si>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</si>
  <si>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</si>
  <si>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</si>
  <si>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</si>
  <si>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</si>
  <si>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</si>
  <si>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</si>
  <si>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</si>
  <si>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</si>
  <si>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</si>
  <si>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</si>
  <si>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</si>
  <si>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</si>
  <si>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</si>
  <si>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</si>
  <si>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</si>
  <si>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</si>
  <si>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</si>
  <si>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</si>
  <si>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</si>
  <si>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</si>
  <si>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</si>
  <si>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</si>
  <si>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</si>
  <si>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</si>
  <si>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</si>
  <si>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</si>
  <si>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</si>
  <si>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</si>
  <si>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</si>
  <si>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</si>
  <si>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</si>
  <si>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</si>
  <si>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</si>
  <si>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</si>
  <si>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</si>
  <si>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</si>
  <si>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</si>
  <si>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</si>
  <si>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</si>
  <si>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</si>
  <si>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</si>
  <si>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</si>
  <si>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</si>
  <si>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</si>
  <si>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</si>
  <si>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</si>
  <si>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</si>
  <si>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</si>
  <si>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</si>
  <si>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</si>
  <si>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</si>
  <si>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</si>
  <si>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</si>
  <si>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</si>
  <si>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</si>
  <si>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</si>
  <si>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</si>
  <si>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</si>
  <si>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</si>
  <si>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</si>
  <si>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</si>
  <si>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</si>
  <si>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</si>
  <si>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</si>
  <si>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</si>
  <si>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</si>
  <si>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</si>
  <si>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</si>
  <si>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</si>
  <si>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</si>
  <si>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</si>
  <si>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</si>
  <si>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</si>
  <si>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</si>
  <si>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</si>
  <si>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</si>
  <si>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</si>
  <si>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</si>
  <si>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</si>
  <si>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</si>
  <si>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</si>
  <si>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</si>
  <si>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</si>
  <si>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</si>
  <si>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</si>
  <si>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</si>
  <si>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</si>
  <si>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</si>
  <si>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</si>
  <si>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</si>
  <si>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</si>
  <si>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</si>
  <si>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</si>
  <si>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</si>
  <si>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</si>
  <si>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</si>
  <si>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</si>
  <si>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</si>
  <si>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</si>
  <si>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</si>
  <si>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</si>
  <si>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</si>
  <si>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</si>
  <si>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</si>
  <si>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</si>
  <si>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</si>
  <si>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</si>
  <si>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</si>
  <si>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</si>
  <si>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</si>
  <si>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</si>
  <si>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</si>
  <si>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</si>
  <si>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</si>
  <si>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</si>
  <si>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</si>
  <si>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</si>
  <si>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</si>
  <si>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</si>
  <si>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</si>
  <si>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</si>
  <si>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</si>
  <si>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</si>
  <si>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</si>
  <si>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</si>
  <si>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</si>
  <si>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</si>
  <si>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</si>
  <si>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</si>
  <si>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</si>
  <si>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</si>
  <si>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</si>
  <si>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</si>
  <si>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</si>
  <si>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</si>
  <si>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</si>
  <si>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</si>
  <si>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</si>
  <si>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</si>
  <si>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</si>
  <si>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</si>
  <si>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</si>
  <si>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</si>
  <si>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</si>
  <si>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</si>
  <si>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</si>
  <si>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</si>
  <si>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</si>
  <si>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</si>
  <si>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</si>
  <si>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</si>
  <si>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</si>
  <si>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</si>
  <si>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</si>
  <si>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</si>
  <si>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</si>
  <si>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</si>
  <si>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</si>
  <si>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</si>
  <si>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</si>
  <si>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</si>
  <si>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</si>
  <si>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</si>
  <si>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</si>
  <si>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</si>
  <si>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</si>
  <si>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</si>
  <si>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</si>
  <si>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</si>
  <si>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</si>
  <si>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</si>
  <si>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</si>
  <si>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</si>
  <si>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</si>
  <si>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</si>
  <si>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</si>
  <si>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</si>
  <si>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</si>
  <si>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</si>
  <si>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</si>
  <si>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</si>
  <si>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</si>
  <si>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</si>
  <si>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</si>
  <si>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</si>
  <si>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</si>
  <si>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</si>
  <si>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</si>
  <si>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</si>
  <si>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</si>
  <si>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</si>
  <si>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</si>
  <si>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</si>
  <si>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</si>
  <si>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</si>
  <si>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</si>
  <si>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</si>
  <si>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</si>
  <si>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</si>
  <si>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</si>
  <si>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</si>
  <si>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</si>
  <si>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</si>
  <si>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</si>
  <si>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</si>
  <si>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</si>
  <si>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</si>
  <si>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</si>
  <si>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</si>
  <si>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</si>
  <si>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</si>
  <si>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</si>
  <si>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</si>
  <si>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</si>
  <si>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</si>
  <si>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</si>
  <si>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</si>
  <si>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</si>
  <si>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</si>
  <si>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</si>
  <si>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</si>
  <si>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</si>
  <si>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</si>
  <si>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</si>
  <si>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</si>
  <si>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</si>
  <si>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</si>
  <si>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</si>
  <si>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</si>
  <si>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</si>
  <si>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</si>
  <si>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</si>
  <si>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</si>
  <si>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</si>
  <si>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</si>
  <si>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</si>
  <si>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</si>
  <si>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</si>
  <si>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</si>
  <si>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</si>
  <si>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</si>
  <si>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</si>
  <si>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</si>
  <si>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</si>
  <si>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</si>
  <si>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</si>
  <si>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</si>
  <si>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</si>
  <si>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</si>
  <si>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</si>
  <si>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</si>
  <si>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</si>
  <si>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</si>
  <si>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</si>
  <si>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</si>
  <si>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</si>
  <si>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</si>
  <si>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</si>
  <si>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</si>
  <si>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</si>
  <si>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</si>
  <si>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</si>
  <si>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</si>
  <si>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</si>
  <si>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</si>
  <si>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</si>
  <si>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</si>
  <si>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</si>
  <si>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</si>
  <si>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</si>
  <si>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</si>
  <si>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</si>
  <si>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</si>
  <si>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</si>
  <si>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</si>
  <si>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</si>
  <si>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</si>
  <si>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</si>
  <si>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</si>
  <si>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</si>
  <si>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</si>
  <si>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</si>
  <si>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</si>
  <si>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</si>
  <si>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</si>
  <si>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</si>
  <si>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</si>
  <si>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</si>
  <si>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</si>
  <si>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</si>
  <si>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</si>
  <si>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</si>
  <si>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</si>
  <si>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</si>
  <si>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</si>
  <si>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</si>
  <si>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</si>
  <si>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</si>
  <si>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</si>
  <si>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</si>
  <si>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</si>
  <si>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</si>
  <si>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</si>
  <si>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</si>
  <si>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</si>
  <si>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</si>
  <si>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</si>
  <si>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</si>
  <si>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</si>
  <si>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</si>
  <si>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</si>
  <si>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</si>
  <si>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</si>
  <si>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</si>
  <si>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</si>
  <si>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</si>
  <si>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</si>
  <si>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</si>
  <si>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</si>
  <si>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</si>
  <si>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</si>
  <si>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</si>
  <si>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</si>
  <si>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</si>
  <si>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</si>
  <si>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</si>
  <si>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</si>
  <si>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</si>
  <si>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</si>
  <si>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</si>
  <si>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</si>
  <si>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</si>
  <si>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</si>
  <si>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</si>
  <si>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</si>
  <si>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</si>
  <si>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</si>
  <si>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</si>
  <si>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</si>
  <si>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</si>
  <si>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</si>
  <si>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</si>
  <si>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</si>
  <si>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</si>
  <si>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</si>
  <si>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</si>
  <si>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</si>
  <si>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</si>
  <si>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</si>
  <si>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</si>
  <si>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</si>
  <si>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</si>
  <si>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</si>
  <si>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</si>
  <si>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</si>
  <si>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</si>
  <si>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</si>
  <si>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</si>
  <si>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</si>
  <si>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</si>
  <si>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</si>
  <si>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</si>
  <si>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</si>
  <si>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</si>
  <si>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</si>
  <si>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</si>
  <si>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</si>
  <si>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</si>
  <si>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</si>
  <si>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</si>
  <si>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</si>
  <si>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</si>
  <si>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</si>
  <si>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</si>
  <si>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</si>
  <si>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</si>
  <si>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</si>
  <si>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</si>
  <si>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</si>
  <si>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</si>
  <si>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</si>
  <si>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</si>
  <si>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</si>
  <si>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</si>
  <si>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</si>
  <si>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</si>
  <si>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</si>
  <si>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</si>
  <si>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</si>
  <si>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</si>
  <si>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</si>
  <si>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</si>
  <si>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</si>
  <si>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</si>
  <si>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</si>
  <si>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</si>
  <si>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</si>
  <si>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</si>
  <si>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</si>
  <si>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</si>
  <si>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</si>
  <si>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</si>
  <si>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</si>
  <si>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</si>
  <si>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</si>
  <si>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</si>
  <si>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</si>
  <si>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</si>
  <si>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</si>
  <si>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</si>
  <si>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</si>
  <si>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</si>
  <si>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</si>
  <si>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</si>
  <si>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</si>
  <si>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</si>
  <si>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</si>
  <si>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</si>
  <si>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</si>
  <si>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</si>
  <si>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</si>
  <si>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</si>
  <si>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</si>
  <si>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</si>
  <si>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</si>
  <si>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</si>
  <si>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</si>
  <si>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</si>
  <si>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</si>
  <si>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</si>
  <si>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</si>
  <si>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</si>
  <si>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</si>
  <si>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</si>
  <si>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</si>
  <si>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</si>
  <si>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</si>
  <si>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</si>
  <si>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</si>
  <si>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</si>
  <si>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</si>
  <si>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</si>
  <si>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</si>
  <si>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</si>
  <si>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</si>
  <si>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</si>
  <si>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</si>
  <si>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</si>
  <si>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</si>
  <si>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</si>
  <si>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</si>
  <si>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</si>
  <si>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</si>
  <si>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</si>
  <si>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</si>
  <si>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</si>
  <si>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</si>
  <si>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</si>
  <si>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</si>
  <si>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</si>
  <si>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</si>
  <si>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</si>
  <si>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</si>
  <si>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</si>
  <si>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</si>
  <si>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</si>
  <si>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</si>
  <si>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</si>
  <si>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</si>
  <si>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</si>
  <si>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</si>
  <si>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</si>
  <si>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</si>
  <si>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</si>
  <si>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</si>
  <si>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</si>
  <si>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</si>
  <si>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</si>
  <si>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</si>
  <si>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</si>
  <si>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</si>
  <si>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</si>
  <si>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</si>
  <si>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</si>
  <si>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</si>
  <si>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</si>
  <si>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</si>
  <si>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</si>
  <si>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</si>
  <si>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</si>
  <si>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</si>
  <si>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</si>
  <si>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</si>
  <si>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</si>
  <si>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</si>
  <si>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</si>
  <si>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</si>
  <si>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</si>
  <si>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</si>
  <si>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</si>
  <si>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</si>
  <si>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</si>
  <si>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</si>
  <si>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</si>
  <si>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</si>
  <si>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</si>
  <si>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</si>
  <si>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</si>
  <si>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</si>
  <si>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</si>
  <si>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</si>
  <si>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</si>
  <si>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</si>
  <si>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</si>
  <si>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</si>
  <si>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</si>
  <si>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</si>
  <si>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</si>
  <si>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</si>
  <si>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</si>
  <si>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</si>
  <si>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</si>
  <si>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</si>
  <si>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</si>
  <si>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</si>
  <si>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</si>
  <si>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</si>
  <si>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</si>
  <si>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</si>
  <si>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</si>
  <si>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</si>
  <si>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</si>
  <si>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</si>
  <si>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</si>
  <si>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</si>
  <si>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</si>
  <si>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</si>
  <si>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</si>
  <si>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</si>
  <si>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</si>
  <si>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</si>
  <si>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</si>
  <si>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</si>
  <si>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</si>
  <si>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</si>
  <si>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</si>
  <si>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</si>
  <si>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</si>
  <si>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</si>
  <si>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</si>
  <si>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</si>
  <si>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</si>
  <si>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</si>
  <si>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</si>
  <si>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</si>
  <si>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</si>
  <si>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</si>
  <si>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</si>
  <si>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</si>
  <si>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</si>
  <si>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</si>
  <si>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</si>
  <si>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</si>
  <si>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</si>
  <si>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</si>
  <si>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</si>
  <si>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</si>
  <si>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</si>
  <si>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</si>
  <si>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</si>
  <si>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</si>
  <si>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</si>
  <si>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</si>
  <si>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</si>
  <si>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</si>
  <si>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</si>
  <si>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</si>
  <si>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</si>
  <si>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</si>
  <si>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</si>
  <si>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</si>
  <si>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</si>
  <si>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</si>
  <si>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</si>
  <si>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</si>
  <si>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</si>
  <si>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</si>
  <si>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</si>
  <si>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</si>
  <si>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</si>
  <si>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</si>
  <si>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</si>
  <si>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</si>
  <si>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</si>
  <si>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</si>
  <si>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</si>
  <si>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</si>
  <si>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</si>
  <si>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</si>
  <si>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</si>
  <si>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</si>
  <si>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</si>
  <si>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</si>
  <si>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</si>
  <si>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</si>
  <si>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</si>
  <si>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</si>
  <si>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</si>
  <si>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</si>
  <si>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</si>
  <si>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</si>
  <si>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</si>
  <si>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</si>
  <si>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</si>
  <si>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</si>
  <si>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</si>
  <si>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</si>
  <si>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</si>
  <si>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</si>
  <si>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</si>
  <si>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</si>
  <si>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</si>
  <si>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</si>
  <si>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</si>
  <si>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</si>
  <si>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</si>
  <si>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</si>
  <si>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</si>
  <si>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</si>
  <si>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</si>
  <si>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</si>
  <si>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</si>
  <si>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</si>
  <si>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</si>
  <si>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</si>
  <si>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</si>
  <si>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</si>
  <si>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</si>
  <si>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</si>
  <si>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</si>
  <si>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</si>
  <si>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</si>
  <si>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</si>
  <si>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</si>
  <si>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</si>
  <si>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</si>
  <si>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</si>
  <si>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</si>
  <si>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</si>
  <si>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</si>
  <si>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</si>
  <si>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</si>
  <si>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</si>
  <si>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</si>
  <si>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</si>
  <si>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</si>
  <si>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</si>
  <si>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</si>
  <si>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</si>
  <si>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</si>
  <si>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</si>
  <si>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</si>
  <si>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</si>
  <si>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</si>
  <si>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</si>
  <si>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</si>
  <si>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</si>
  <si>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</si>
  <si>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</si>
  <si>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</si>
  <si>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</si>
  <si>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</si>
  <si>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</si>
  <si>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</si>
  <si>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</si>
  <si>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</si>
  <si>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</si>
  <si>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</si>
  <si>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</si>
  <si>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</si>
  <si>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</si>
  <si>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</si>
  <si>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</si>
  <si>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</si>
  <si>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</si>
  <si>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</si>
  <si>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</si>
  <si>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</si>
  <si>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</si>
  <si>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</si>
  <si>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</si>
  <si>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</si>
  <si>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</si>
  <si>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</si>
  <si>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</si>
  <si>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</si>
  <si>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</si>
  <si>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</si>
  <si>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</si>
  <si>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</si>
  <si>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</si>
  <si>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</si>
  <si>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</si>
  <si>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</si>
  <si>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</si>
  <si>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</si>
  <si>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</si>
  <si>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</si>
  <si>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</si>
  <si>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</si>
  <si>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</si>
  <si>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</si>
  <si>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</si>
  <si>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</si>
  <si>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</si>
  <si>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</si>
  <si>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</si>
  <si>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</si>
  <si>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</si>
  <si>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</si>
  <si>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</si>
  <si>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</si>
  <si>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</si>
  <si>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</si>
  <si>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</si>
  <si>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</si>
  <si>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</si>
  <si>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</si>
  <si>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</si>
  <si>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</si>
  <si>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</si>
  <si>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</si>
  <si>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</si>
  <si>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</si>
  <si>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</si>
  <si>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</si>
  <si>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</si>
  <si>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</si>
  <si>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</si>
  <si>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</si>
  <si>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</si>
  <si>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</si>
  <si>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</si>
  <si>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</si>
  <si>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</si>
  <si>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</si>
  <si>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</si>
  <si>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</si>
  <si>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</si>
  <si>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</si>
  <si>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</si>
  <si>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</si>
  <si>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</si>
  <si>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</si>
  <si>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</si>
  <si>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</si>
  <si>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</si>
  <si>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</si>
  <si>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</si>
  <si>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</si>
  <si>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</si>
  <si>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</si>
  <si>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</si>
  <si>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</si>
  <si>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</si>
  <si>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</si>
  <si>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</si>
  <si>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</si>
  <si>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</si>
  <si>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</si>
  <si>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</si>
  <si>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</si>
  <si>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</si>
  <si>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</si>
  <si>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</si>
  <si>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</si>
  <si>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</si>
  <si>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</si>
  <si>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</si>
  <si>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</si>
  <si>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</si>
  <si>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</si>
  <si>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</si>
  <si>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</si>
  <si>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</si>
  <si>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</si>
  <si>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</si>
  <si>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</si>
  <si>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</si>
  <si>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</si>
  <si>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</si>
  <si>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</si>
  <si>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</si>
  <si>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</si>
  <si>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</si>
  <si>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</si>
  <si>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</si>
  <si>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</si>
  <si>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</si>
  <si>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</si>
  <si>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</si>
  <si>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</si>
  <si>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</si>
  <si>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</si>
  <si>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</si>
  <si>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</si>
  <si>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</si>
  <si>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</si>
  <si>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</si>
  <si>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</si>
  <si>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</si>
  <si>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</si>
  <si>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</si>
  <si>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</si>
  <si>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</si>
  <si>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</si>
  <si>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</si>
  <si>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</si>
  <si>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</si>
  <si>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</si>
  <si>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</si>
  <si>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</si>
  <si>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</si>
  <si>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</si>
  <si>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</si>
  <si>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</si>
  <si>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</si>
  <si>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</si>
  <si>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</si>
  <si>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</si>
  <si>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</si>
  <si>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</si>
  <si>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</si>
  <si>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</si>
  <si>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</si>
  <si>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</si>
  <si>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</si>
  <si>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</si>
  <si>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</si>
  <si>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</si>
  <si>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</si>
  <si>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</si>
  <si>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</si>
  <si>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</si>
  <si>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</si>
  <si>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</si>
  <si>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</si>
  <si>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</si>
  <si>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</si>
  <si>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</si>
  <si>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</si>
  <si>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</si>
  <si>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</si>
  <si>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</si>
  <si>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</si>
  <si>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</si>
  <si>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</si>
  <si>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</si>
  <si>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</si>
  <si>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</si>
  <si>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</si>
  <si>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</si>
  <si>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</si>
  <si>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</si>
  <si>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</si>
  <si>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</si>
  <si>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</si>
  <si>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</si>
  <si>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</si>
  <si>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</si>
  <si>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</si>
  <si>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</si>
  <si>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</si>
  <si>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</si>
  <si>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</si>
  <si>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</si>
  <si>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</si>
  <si>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</si>
  <si>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</si>
  <si>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</si>
  <si>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</si>
  <si>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</si>
  <si>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</si>
  <si>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</si>
  <si>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</si>
  <si>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</si>
  <si>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</si>
  <si>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</si>
  <si>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</si>
  <si>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</si>
  <si>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</si>
  <si>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</si>
  <si>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</si>
  <si>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</si>
  <si>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</si>
  <si>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</si>
  <si>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</si>
  <si>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</si>
  <si>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</si>
  <si>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</si>
  <si>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</si>
  <si>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</si>
  <si>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</si>
  <si>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</si>
  <si>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</si>
  <si>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</si>
  <si>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</si>
  <si>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</si>
  <si>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</si>
  <si>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</si>
  <si>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</si>
  <si>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</si>
  <si>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</si>
  <si>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</si>
  <si>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</si>
  <si>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</si>
  <si>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</si>
  <si>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</si>
  <si>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</si>
  <si>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</si>
  <si>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</si>
  <si>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</si>
  <si>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</si>
  <si>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</si>
  <si>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</si>
  <si>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</si>
  <si>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</si>
  <si>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</si>
  <si>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</si>
  <si>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</si>
  <si>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</si>
  <si>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</si>
  <si>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</si>
  <si>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</si>
  <si>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</si>
  <si>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</si>
  <si>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</si>
  <si>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</si>
  <si>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</si>
  <si>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</si>
  <si>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</si>
  <si>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</si>
  <si>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</si>
  <si>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</si>
  <si>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</si>
  <si>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</si>
  <si>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</si>
  <si>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</si>
  <si>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</si>
  <si>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</si>
  <si>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</si>
  <si>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</si>
  <si>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</si>
  <si>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</si>
  <si>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</si>
  <si>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</si>
  <si>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</si>
  <si>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</si>
  <si>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</si>
  <si>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</si>
  <si>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</si>
  <si>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</si>
  <si>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</si>
  <si>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</si>
  <si>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</si>
  <si>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</si>
  <si>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</si>
  <si>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</si>
  <si>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</si>
  <si>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</si>
  <si>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</si>
  <si>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</si>
  <si>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</si>
  <si>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</si>
  <si>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</si>
  <si>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</si>
  <si>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</si>
  <si>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</si>
  <si>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</si>
  <si>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</si>
  <si>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</si>
  <si>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</si>
  <si>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</si>
  <si>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</si>
  <si>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</si>
  <si>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</si>
  <si>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</si>
  <si>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</si>
  <si>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</si>
  <si>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</si>
  <si>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</si>
  <si>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</si>
  <si>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</si>
  <si>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</si>
  <si>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</si>
  <si>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</si>
  <si>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</si>
  <si>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</si>
  <si>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</si>
  <si>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</si>
  <si>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</si>
  <si>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</si>
  <si>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</si>
  <si>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</si>
  <si>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</si>
  <si>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</si>
  <si>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</si>
  <si>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</si>
  <si>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</si>
  <si>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</si>
  <si>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</si>
  <si>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</si>
  <si>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</si>
  <si>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</si>
  <si>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</si>
  <si>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</si>
  <si>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</si>
  <si>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</si>
  <si>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</si>
  <si>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</si>
  <si>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</si>
  <si>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</si>
  <si>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</si>
  <si>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</si>
  <si>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</si>
  <si>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</si>
  <si>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</si>
  <si>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</si>
  <si>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</si>
  <si>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</si>
  <si>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</si>
  <si>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</si>
  <si>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</si>
  <si>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</si>
  <si>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</si>
  <si>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</si>
  <si>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</si>
  <si>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</si>
  <si>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</si>
  <si>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</si>
  <si>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</si>
  <si>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</si>
  <si>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</si>
  <si>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</si>
  <si>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</si>
  <si>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</si>
  <si>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</si>
  <si>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</si>
  <si>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</si>
  <si>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</si>
  <si>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</si>
  <si>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</si>
  <si>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</si>
  <si>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</si>
  <si>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</si>
  <si>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</si>
  <si>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</si>
  <si>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</si>
  <si>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</si>
  <si>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</si>
  <si>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</si>
  <si>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</si>
  <si>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</si>
  <si>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</si>
  <si>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</si>
  <si>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</si>
  <si>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</si>
  <si>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</si>
  <si>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</si>
  <si>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</si>
  <si>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</si>
  <si>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</si>
  <si>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</si>
  <si>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</si>
  <si>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</si>
  <si>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</si>
  <si>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</si>
  <si>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</si>
  <si>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</si>
  <si>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</si>
  <si>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</si>
  <si>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</si>
  <si>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</si>
  <si>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</si>
  <si>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</si>
  <si>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</si>
  <si>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</si>
  <si>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</si>
  <si>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</si>
  <si>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</si>
  <si>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</si>
  <si>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</si>
  <si>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</si>
  <si>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</si>
  <si>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</si>
  <si>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</si>
  <si>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</si>
  <si>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</si>
  <si>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</si>
  <si>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</si>
  <si>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</si>
  <si>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</si>
  <si>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</si>
  <si>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</si>
  <si>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</si>
  <si>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</si>
  <si>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</si>
  <si>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</si>
  <si>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</si>
  <si>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</si>
  <si>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</si>
  <si>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</si>
  <si>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</si>
  <si>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</si>
  <si>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</si>
  <si>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</si>
  <si>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</si>
  <si>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</si>
  <si>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</si>
  <si>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</si>
  <si>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</si>
  <si>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</si>
  <si>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</si>
  <si>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</si>
  <si>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</si>
  <si>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</si>
  <si>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</si>
  <si>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</si>
  <si>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</si>
  <si>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</si>
  <si>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</si>
  <si>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</si>
  <si>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</si>
  <si>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</si>
  <si>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</si>
  <si>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</si>
  <si>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</si>
  <si>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</si>
  <si>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</si>
  <si>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</si>
  <si>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</si>
  <si>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</si>
  <si>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</si>
  <si>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</si>
  <si>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</si>
  <si>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</si>
  <si>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</si>
  <si>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</si>
  <si>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</si>
  <si>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</si>
  <si>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</si>
  <si>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</si>
  <si>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</si>
  <si>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</si>
  <si>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</si>
  <si>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</si>
  <si>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</si>
  <si>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</si>
  <si>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</si>
  <si>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</si>
  <si>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</si>
  <si>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</si>
  <si>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</si>
  <si>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</si>
  <si>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</si>
  <si>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</si>
  <si>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</si>
  <si>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</si>
  <si>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</si>
  <si>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</si>
  <si>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</si>
  <si>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</si>
  <si>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</si>
  <si>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</si>
  <si>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</si>
  <si>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</si>
  <si>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</si>
  <si>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</si>
  <si>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</si>
  <si>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</si>
  <si>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</si>
  <si>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</si>
  <si>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</si>
  <si>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</si>
  <si>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</si>
  <si>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</si>
  <si>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</si>
  <si>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</si>
  <si>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</si>
  <si>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</si>
  <si>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</si>
  <si>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</si>
  <si>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</si>
  <si>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</si>
  <si>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</si>
  <si>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</si>
  <si>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</si>
  <si>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</si>
  <si>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</si>
  <si>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</si>
  <si>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</si>
  <si>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</si>
  <si>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</si>
  <si>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</si>
  <si>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</si>
  <si>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</si>
  <si>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</si>
  <si>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</si>
  <si>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</si>
  <si>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</si>
  <si>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</si>
  <si>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</si>
  <si>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</si>
  <si>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</si>
  <si>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</si>
  <si>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</si>
  <si>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</si>
  <si>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</si>
  <si>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</si>
  <si>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</si>
  <si>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</si>
  <si>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</si>
  <si>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</si>
  <si>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</si>
  <si>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</si>
  <si>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</si>
  <si>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</si>
  <si>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</si>
  <si>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</si>
  <si>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</si>
  <si>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</si>
  <si>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</si>
  <si>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</si>
  <si>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</si>
  <si>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</si>
  <si>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</si>
  <si>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</si>
  <si>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</si>
  <si>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</si>
  <si>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</si>
  <si>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</si>
  <si>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</si>
  <si>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</si>
  <si>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</si>
  <si>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</si>
  <si>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</si>
  <si>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</si>
  <si>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</si>
  <si>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</si>
  <si>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</si>
  <si>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</si>
  <si>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</si>
  <si>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</si>
  <si>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</si>
  <si>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</si>
  <si>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</si>
  <si>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</si>
  <si>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</si>
  <si>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</si>
  <si>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</si>
  <si>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</si>
  <si>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</si>
  <si>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</si>
  <si>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</si>
  <si>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</si>
  <si>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</si>
  <si>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</si>
  <si>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</si>
  <si>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</si>
  <si>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</si>
  <si>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</si>
  <si>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</si>
  <si>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</si>
  <si>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</si>
  <si>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</si>
  <si>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</si>
  <si>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</si>
  <si>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</si>
  <si>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</si>
  <si>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</si>
  <si>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</si>
  <si>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</si>
  <si>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</si>
  <si>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</si>
  <si>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</si>
  <si>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</si>
  <si>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</si>
  <si>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</si>
  <si>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</si>
  <si>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</si>
  <si>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</si>
  <si>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</si>
  <si>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</si>
  <si>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</si>
  <si>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</si>
  <si>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</si>
  <si>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</si>
  <si>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</si>
  <si>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</si>
  <si>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</si>
  <si>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</si>
  <si>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</si>
  <si>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</si>
  <si>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</si>
  <si>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</si>
  <si>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</si>
  <si>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</si>
  <si>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</si>
  <si>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</si>
  <si>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</si>
  <si>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</si>
  <si>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</si>
  <si>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</si>
  <si>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</si>
  <si>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</si>
  <si>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</si>
  <si>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</si>
  <si>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</si>
  <si>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</si>
  <si>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</si>
  <si>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</si>
  <si>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</si>
  <si>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</si>
  <si>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</si>
  <si>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</si>
  <si>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</si>
  <si>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</si>
  <si>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</si>
  <si>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</si>
  <si>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</si>
  <si>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</si>
  <si>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</si>
  <si>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</si>
  <si>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</si>
  <si>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</si>
  <si>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</si>
  <si>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</si>
  <si>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</si>
  <si>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</si>
  <si>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</si>
  <si>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</si>
  <si>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</si>
  <si>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</si>
  <si>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</si>
  <si>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</si>
  <si>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</si>
  <si>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</si>
  <si>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</si>
  <si>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</si>
  <si>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</si>
  <si>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</si>
  <si>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</si>
  <si>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</si>
  <si>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</si>
  <si>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</si>
  <si>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</si>
  <si>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</si>
  <si>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</si>
  <si>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</si>
  <si>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</si>
  <si>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</si>
  <si>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</si>
  <si>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</si>
  <si>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</si>
  <si>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</si>
  <si>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</si>
  <si>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</si>
  <si>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</si>
  <si>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</si>
  <si>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</si>
  <si>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</si>
  <si>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</si>
  <si>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</si>
  <si>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</si>
  <si>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</si>
  <si>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</si>
  <si>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</si>
  <si>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</si>
  <si>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</si>
  <si>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</si>
  <si>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</si>
  <si>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</si>
  <si>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</si>
  <si>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</si>
  <si>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</si>
  <si>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</si>
  <si>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</si>
  <si>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</si>
  <si>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</si>
  <si>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</si>
  <si>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</si>
  <si>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</si>
  <si>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</si>
  <si>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</si>
  <si>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</si>
  <si>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</si>
  <si>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</si>
  <si>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</si>
  <si>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</si>
  <si>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</si>
  <si>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</si>
  <si>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</si>
  <si>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</si>
  <si>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</si>
  <si>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</si>
  <si>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</si>
  <si>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</si>
  <si>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</si>
  <si>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</si>
  <si>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</si>
  <si>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</si>
  <si>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</si>
  <si>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</si>
  <si>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</si>
  <si>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</si>
  <si>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</si>
  <si>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</si>
  <si>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</si>
  <si>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</si>
  <si>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</si>
  <si>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</si>
  <si>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</si>
  <si>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</si>
  <si>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</si>
  <si>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</si>
  <si>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</si>
  <si>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</si>
  <si>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</si>
  <si>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</si>
  <si>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</si>
  <si>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</si>
  <si>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</si>
  <si>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</si>
  <si>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</si>
  <si>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</si>
  <si>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</si>
  <si>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</si>
  <si>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</si>
  <si>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</si>
  <si>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</si>
  <si>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</si>
  <si>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</si>
  <si>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</si>
  <si>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</si>
  <si>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</si>
  <si>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</si>
  <si>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</si>
  <si>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</si>
  <si>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</si>
  <si>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</si>
  <si>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</si>
  <si>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</si>
  <si>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</si>
  <si>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</si>
  <si>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</si>
  <si>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</si>
  <si>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</si>
  <si>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</si>
  <si>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</si>
  <si>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</si>
  <si>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</si>
  <si>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</si>
  <si>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</si>
  <si>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</si>
  <si>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</si>
  <si>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</si>
  <si>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</si>
  <si>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</si>
  <si>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</si>
  <si>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</si>
  <si>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</si>
  <si>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</si>
  <si>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</si>
  <si>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</si>
  <si>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</si>
  <si>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</si>
  <si>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</si>
  <si>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</si>
  <si>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</si>
  <si>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</si>
  <si>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</si>
  <si>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</si>
  <si>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</si>
  <si>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</si>
  <si>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</si>
  <si>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</si>
  <si>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</si>
  <si>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</si>
  <si>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</si>
  <si>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</si>
  <si>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</si>
  <si>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</si>
  <si>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</si>
  <si>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</si>
  <si>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</si>
  <si>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</si>
  <si>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</si>
  <si>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</si>
  <si>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</si>
  <si>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</si>
  <si>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</si>
  <si>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</si>
  <si>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</si>
  <si>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</si>
  <si>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</si>
  <si>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</si>
  <si>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</si>
  <si>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</si>
  <si>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</si>
  <si>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</si>
  <si>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</si>
  <si>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</si>
  <si>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</si>
  <si>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</si>
  <si>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</si>
  <si>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</si>
  <si>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</si>
  <si>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</si>
  <si>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</si>
  <si>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</si>
  <si>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</si>
  <si>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</si>
  <si>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</si>
  <si>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</si>
  <si>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</si>
  <si>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</si>
  <si>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</si>
  <si>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</si>
  <si>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</si>
  <si>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</si>
  <si>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</si>
  <si>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</si>
  <si>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</si>
  <si>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</si>
  <si>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</si>
  <si>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</si>
  <si>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</si>
  <si>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</si>
  <si>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</si>
  <si>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</si>
  <si>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</si>
  <si>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</si>
  <si>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</si>
  <si>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</si>
  <si>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</si>
  <si>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</si>
  <si>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</si>
  <si>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</si>
  <si>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</si>
  <si>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</si>
  <si>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</si>
  <si>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</si>
  <si>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</si>
  <si>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</si>
  <si>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</si>
  <si>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</si>
  <si>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</si>
  <si>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</si>
  <si>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</si>
  <si>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</si>
  <si>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</si>
  <si>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</si>
  <si>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</si>
  <si>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</si>
  <si>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</si>
  <si>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</si>
  <si>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</si>
  <si>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</si>
  <si>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</si>
  <si>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</si>
  <si>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</si>
  <si>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</si>
  <si>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</si>
  <si>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</si>
  <si>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</si>
  <si>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</si>
  <si>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</si>
  <si>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</si>
  <si>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</si>
  <si>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</si>
  <si>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</si>
  <si>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</si>
  <si>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</si>
  <si>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</si>
  <si>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</si>
  <si>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</si>
  <si>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</si>
  <si>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</si>
  <si>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</si>
  <si>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</si>
  <si>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</si>
  <si>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</si>
  <si>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</si>
  <si>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</si>
  <si>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</si>
  <si>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</si>
  <si>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</si>
  <si>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</si>
  <si>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</si>
  <si>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</si>
  <si>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</si>
  <si>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</si>
  <si>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</si>
  <si>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</si>
  <si>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</si>
  <si>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</si>
  <si>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</si>
  <si>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</si>
  <si>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</si>
  <si>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</si>
  <si>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</si>
  <si>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</si>
  <si>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</si>
  <si>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</si>
  <si>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</si>
  <si>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</si>
  <si>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</si>
  <si>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</si>
  <si>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</si>
  <si>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</si>
  <si>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</si>
  <si>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</si>
  <si>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</si>
  <si>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</si>
  <si>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</si>
  <si>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</si>
  <si>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</si>
  <si>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</si>
  <si>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</si>
  <si>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</si>
  <si>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</si>
  <si>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</si>
  <si>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</si>
  <si>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</si>
  <si>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</si>
  <si>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</si>
  <si>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</si>
  <si>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</si>
  <si>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</si>
  <si>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</si>
  <si>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</si>
  <si>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</si>
  <si>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</si>
  <si>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</si>
  <si>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</si>
  <si>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</si>
  <si>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</si>
  <si>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</si>
  <si>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</si>
  <si>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</si>
  <si>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</si>
  <si>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</si>
  <si>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</si>
  <si>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</si>
  <si>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</si>
  <si>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</si>
  <si>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</si>
  <si>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</si>
  <si>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</si>
  <si>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</si>
  <si>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</si>
  <si>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</si>
  <si>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</si>
  <si>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</si>
  <si>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</si>
  <si>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</si>
  <si>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</si>
  <si>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</si>
  <si>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</si>
  <si>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</si>
  <si>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</si>
  <si>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</si>
  <si>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</si>
  <si>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</si>
  <si>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</si>
  <si>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</si>
  <si>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</si>
  <si>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</si>
  <si>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</si>
  <si>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</si>
  <si>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</si>
  <si>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</si>
  <si>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</si>
  <si>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</si>
  <si>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</si>
  <si>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</si>
  <si>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</si>
  <si>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</si>
  <si>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</si>
  <si>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</si>
  <si>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</si>
  <si>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</si>
  <si>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</si>
  <si>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</si>
  <si>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</si>
  <si>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</si>
  <si>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</si>
  <si>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</si>
  <si>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</si>
  <si>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</si>
  <si>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</si>
  <si>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</si>
  <si>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</si>
  <si>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</si>
  <si>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</si>
  <si>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</si>
  <si>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</si>
  <si>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</si>
  <si>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</si>
  <si>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</si>
  <si>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</si>
  <si>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</si>
  <si>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</si>
  <si>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</si>
  <si>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</si>
  <si>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</si>
  <si>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</si>
  <si>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</si>
  <si>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</si>
  <si>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</si>
  <si>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</si>
  <si>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</si>
  <si>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</si>
  <si>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</si>
  <si>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</si>
  <si>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</si>
  <si>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</si>
  <si>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</si>
  <si>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</si>
  <si>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</si>
  <si>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</si>
  <si>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</si>
  <si>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</si>
  <si>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</si>
  <si>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</si>
  <si>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</si>
  <si>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</si>
  <si>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</si>
  <si>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</si>
  <si>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</si>
  <si>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</si>
  <si>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</si>
  <si>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</si>
  <si>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</si>
  <si>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</si>
  <si>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</si>
  <si>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</si>
  <si>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</si>
  <si>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</si>
  <si>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</si>
  <si>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</si>
  <si>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</si>
  <si>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</si>
  <si>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</si>
  <si>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</si>
  <si>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</si>
  <si>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</si>
  <si>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</si>
  <si>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</si>
  <si>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</si>
  <si>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</si>
  <si>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</si>
  <si>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</si>
  <si>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</si>
  <si>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</si>
  <si>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</si>
  <si>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</si>
  <si>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</si>
  <si>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</si>
  <si>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</si>
  <si>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</si>
  <si>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</si>
  <si>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</si>
  <si>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</si>
  <si>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</si>
  <si>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</si>
  <si>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</si>
  <si>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</si>
  <si>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</si>
  <si>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</si>
  <si>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</si>
  <si>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</si>
  <si>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</si>
  <si>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</si>
  <si>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</si>
  <si>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</si>
  <si>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</si>
  <si>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</si>
  <si>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</si>
  <si>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</si>
  <si>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</si>
  <si>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</si>
  <si>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</si>
  <si>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</si>
  <si>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</si>
  <si>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</si>
  <si>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</si>
  <si>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</si>
  <si>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</si>
  <si>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</si>
  <si>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</si>
  <si>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</si>
  <si>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</si>
  <si>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</si>
  <si>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</si>
  <si>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</si>
  <si>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</si>
  <si>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</si>
  <si>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</si>
  <si>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</si>
  <si>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</si>
  <si>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</si>
  <si>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</si>
  <si>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</si>
  <si>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</si>
  <si>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</si>
  <si>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</si>
  <si>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</si>
  <si>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</si>
  <si>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</si>
  <si>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</si>
  <si>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</si>
  <si>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</si>
  <si>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</si>
  <si>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</si>
  <si>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</si>
  <si>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</si>
  <si>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</si>
  <si>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</si>
  <si>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</si>
  <si>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</si>
  <si>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</si>
  <si>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</si>
  <si>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</si>
  <si>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</si>
  <si>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</si>
  <si>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</si>
  <si>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</si>
  <si>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</si>
  <si>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</si>
  <si>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</si>
  <si>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</si>
  <si>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</si>
  <si>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</si>
  <si>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</si>
  <si>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</si>
  <si>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</si>
  <si>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</si>
  <si>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</si>
  <si>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</si>
  <si>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</si>
  <si>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</si>
  <si>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</si>
  <si>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</si>
  <si>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</si>
  <si>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</si>
  <si>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</si>
  <si>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</si>
  <si>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</si>
  <si>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</si>
  <si>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</si>
  <si>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</si>
  <si>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</si>
  <si>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</si>
  <si>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</si>
  <si>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</si>
  <si>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</si>
  <si>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</si>
  <si>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</si>
  <si>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</si>
  <si>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</si>
  <si>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</si>
  <si>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</si>
  <si>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</si>
  <si>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</si>
  <si>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</si>
  <si>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</si>
  <si>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</si>
  <si>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</si>
  <si>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</si>
  <si>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</si>
  <si>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</si>
  <si>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</si>
  <si>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</si>
  <si>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</si>
  <si>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</si>
  <si>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</si>
  <si>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</si>
  <si>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</si>
  <si>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</si>
  <si>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</si>
  <si>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</si>
  <si>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</si>
  <si>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</si>
  <si>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</si>
  <si>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</si>
  <si>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</si>
  <si>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</si>
  <si>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</si>
  <si>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</si>
  <si>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</si>
  <si>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</si>
  <si>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</si>
  <si>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</si>
  <si>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</si>
  <si>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</si>
  <si>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</si>
  <si>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</si>
  <si>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</si>
  <si>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</si>
  <si>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</si>
  <si>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</si>
  <si>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</si>
  <si>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</si>
  <si>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</si>
  <si>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</si>
  <si>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</si>
  <si>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</si>
  <si>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</si>
  <si>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</si>
  <si>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</si>
  <si>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</si>
  <si>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</si>
  <si>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</si>
  <si>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</si>
  <si>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</si>
  <si>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</si>
  <si>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</si>
  <si>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</si>
  <si>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</si>
  <si>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</si>
  <si>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</si>
  <si>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</si>
  <si>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</si>
  <si>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</si>
  <si>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</si>
  <si>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</si>
  <si>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</si>
  <si>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</si>
  <si>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</si>
  <si>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</si>
  <si>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</si>
  <si>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</si>
  <si>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</si>
  <si>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</si>
  <si>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</si>
  <si>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</si>
  <si>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</si>
  <si>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</si>
  <si>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</si>
  <si>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</si>
  <si>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</si>
  <si>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</si>
  <si>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</si>
  <si>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</si>
  <si>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</si>
  <si>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</si>
  <si>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</si>
  <si>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</si>
  <si>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</si>
  <si>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</si>
  <si>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</si>
  <si>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</si>
  <si>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</si>
  <si>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</si>
  <si>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</si>
  <si>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</si>
  <si>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</si>
  <si>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</si>
  <si>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</si>
  <si>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</si>
  <si>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</si>
  <si>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</si>
  <si>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</si>
  <si>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</si>
  <si>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</si>
  <si>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</si>
  <si>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</si>
  <si>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</si>
  <si>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</si>
  <si>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</si>
  <si>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</si>
  <si>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</si>
  <si>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</si>
  <si>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</si>
  <si>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</si>
  <si>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</si>
  <si>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</si>
  <si>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</si>
  <si>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</si>
  <si>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</si>
  <si>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</si>
  <si>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</si>
  <si>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</si>
  <si>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</si>
  <si>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</si>
  <si>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</si>
  <si>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</si>
  <si>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</si>
  <si>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</si>
  <si>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</si>
  <si>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</si>
  <si>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</si>
  <si>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</si>
  <si>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</si>
  <si>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</si>
  <si>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</si>
  <si>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</si>
  <si>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</si>
  <si>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</si>
  <si>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</si>
  <si>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</si>
  <si>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</si>
  <si>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</si>
  <si>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</si>
  <si>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</si>
  <si>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</si>
  <si>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</si>
  <si>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</si>
  <si>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</si>
  <si>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</si>
  <si>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</si>
  <si>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</si>
  <si>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</si>
  <si>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</si>
  <si>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</si>
  <si>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</si>
  <si>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</si>
  <si>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</si>
  <si>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</si>
  <si>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</si>
  <si>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</si>
  <si>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</si>
  <si>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</si>
  <si>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</si>
  <si>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</si>
  <si>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</si>
  <si>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</si>
  <si>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</si>
  <si>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</si>
  <si>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</si>
  <si>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</si>
  <si>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</si>
  <si>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</si>
  <si>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</si>
  <si>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</si>
  <si>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</si>
  <si>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</si>
  <si>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</si>
  <si>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</si>
  <si>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</si>
  <si>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</si>
  <si>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</si>
  <si>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</si>
  <si>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</si>
  <si>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</si>
  <si>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</si>
  <si>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</si>
  <si>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</si>
  <si>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</si>
  <si>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</si>
  <si>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</si>
  <si>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</si>
  <si>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</si>
  <si>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</si>
  <si>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</si>
  <si>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</si>
  <si>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</si>
  <si>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</si>
  <si>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</si>
  <si>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</si>
  <si>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</si>
  <si>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</si>
  <si>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</si>
  <si>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</si>
  <si>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</si>
  <si>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</si>
  <si>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</si>
  <si>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</si>
  <si>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</si>
  <si>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</si>
  <si>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</si>
  <si>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</si>
  <si>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</si>
  <si>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</si>
  <si>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</si>
  <si>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</si>
  <si>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</si>
  <si>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</si>
  <si>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</si>
  <si>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</si>
  <si>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</si>
  <si>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</si>
  <si>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</si>
  <si>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</si>
  <si>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</si>
  <si>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</si>
  <si>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</si>
  <si>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</si>
  <si>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</si>
  <si>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</si>
  <si>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</si>
  <si>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</si>
  <si>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</si>
  <si>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</si>
  <si>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</si>
  <si>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</si>
  <si>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</si>
  <si>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</si>
  <si>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</si>
  <si>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</si>
  <si>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</si>
  <si>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</si>
  <si>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</si>
  <si>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</si>
  <si>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</si>
  <si>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</si>
  <si>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</si>
  <si>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</si>
  <si>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</si>
  <si>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</si>
  <si>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</si>
  <si>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</si>
  <si>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</si>
  <si>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</si>
  <si>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</si>
  <si>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</si>
  <si>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</si>
  <si>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</si>
  <si>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</si>
  <si>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</si>
  <si>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</si>
  <si>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</si>
  <si>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</si>
  <si>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</si>
  <si>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</si>
  <si>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</si>
  <si>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</si>
  <si>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</si>
  <si>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</si>
  <si>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</si>
  <si>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</si>
  <si>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</si>
  <si>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</si>
  <si>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</si>
  <si>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</si>
  <si>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</si>
  <si>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</si>
  <si>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</si>
  <si>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</si>
  <si>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</si>
  <si>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</si>
  <si>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</si>
  <si>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</si>
  <si>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</si>
  <si>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</si>
  <si>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</si>
  <si>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</si>
  <si>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</si>
  <si>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</si>
  <si>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</si>
  <si>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</si>
  <si>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</si>
  <si>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</si>
  <si>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</si>
  <si>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</si>
  <si>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</si>
  <si>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</si>
  <si>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</si>
  <si>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</si>
  <si>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</si>
  <si>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</si>
  <si>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</si>
  <si>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</si>
  <si>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</si>
  <si>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</si>
  <si>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</si>
  <si>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</si>
  <si>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</si>
  <si>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</si>
  <si>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</si>
  <si>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</si>
  <si>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</si>
  <si>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</si>
  <si>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</si>
  <si>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</si>
  <si>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</si>
  <si>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</si>
  <si>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</si>
  <si>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</si>
  <si>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</si>
  <si>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</si>
  <si>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</si>
  <si>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</si>
  <si>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</si>
  <si>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</si>
  <si>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</si>
  <si>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</si>
  <si>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</si>
  <si>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</si>
  <si>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</si>
  <si>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</si>
  <si>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</si>
  <si>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</si>
  <si>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</si>
  <si>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</si>
  <si>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</si>
  <si>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</si>
  <si>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</si>
  <si>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</si>
  <si>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</si>
  <si>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</si>
  <si>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</si>
  <si>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</si>
  <si>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</si>
  <si>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</si>
  <si>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</si>
  <si>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</si>
  <si>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</si>
  <si>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</si>
  <si>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</si>
  <si>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</si>
  <si>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</si>
  <si>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</si>
  <si>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</si>
  <si>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</si>
  <si>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</si>
  <si>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</si>
  <si>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</si>
  <si>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</si>
  <si>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</si>
  <si>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</si>
  <si>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</si>
  <si>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</si>
  <si>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</si>
  <si>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</si>
  <si>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</si>
  <si>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</si>
  <si>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</si>
  <si>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</si>
  <si>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</si>
  <si>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</si>
  <si>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</si>
  <si>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</si>
  <si>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</si>
  <si>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</si>
  <si>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</si>
  <si>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</si>
  <si>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</si>
  <si>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</si>
  <si>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</si>
  <si>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</si>
  <si>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</si>
  <si>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</si>
  <si>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</si>
  <si>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</si>
  <si>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</si>
  <si>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</si>
  <si>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</si>
  <si>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</si>
  <si>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</si>
  <si>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</si>
  <si>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</si>
  <si>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</si>
  <si>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</si>
  <si>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</si>
  <si>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</si>
  <si>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</si>
  <si>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</si>
  <si>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</si>
  <si>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</si>
  <si>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</si>
  <si>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</si>
  <si>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</si>
  <si>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</si>
  <si>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</si>
  <si>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</si>
  <si>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</si>
  <si>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</si>
  <si>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</si>
  <si>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</si>
  <si>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</si>
  <si>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</si>
  <si>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</si>
  <si>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</si>
  <si>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</si>
  <si>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</si>
  <si>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</si>
  <si>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</si>
  <si>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</si>
  <si>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</si>
  <si>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</si>
  <si>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</si>
  <si>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</si>
  <si>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</si>
  <si>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</si>
  <si>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</si>
  <si>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</si>
  <si>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</si>
  <si>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</si>
  <si>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</si>
  <si>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</si>
  <si>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</si>
  <si>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</si>
  <si>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</si>
  <si>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</si>
  <si>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</si>
  <si>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</si>
  <si>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</si>
  <si>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</si>
  <si>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</si>
  <si>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</si>
  <si>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</si>
  <si>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</si>
  <si>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</si>
  <si>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</si>
  <si>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</si>
  <si>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</si>
  <si>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</si>
  <si>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</si>
  <si>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</si>
  <si>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</si>
  <si>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</si>
  <si>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</si>
  <si>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</si>
  <si>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</si>
  <si>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</si>
  <si>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</si>
  <si>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</si>
  <si>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</si>
  <si>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</si>
  <si>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</si>
  <si>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</si>
  <si>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</si>
  <si>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</si>
  <si>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</si>
  <si>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</si>
  <si>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</si>
  <si>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</si>
  <si>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</si>
  <si>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</si>
  <si>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</si>
  <si>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</si>
  <si>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</si>
  <si>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</si>
  <si>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</si>
  <si>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</si>
  <si>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</si>
  <si>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</si>
  <si>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</si>
  <si>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</si>
  <si>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</si>
  <si>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</si>
  <si>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</si>
  <si>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</si>
  <si>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</si>
  <si>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</si>
  <si>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</si>
  <si>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</si>
  <si>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</si>
  <si>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</si>
  <si>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</si>
  <si>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</si>
  <si>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</si>
  <si>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</si>
  <si>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</si>
  <si>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</si>
  <si>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</si>
  <si>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</si>
  <si>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</si>
  <si>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</si>
  <si>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</si>
  <si>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</si>
  <si>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</si>
  <si>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</si>
  <si>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</si>
  <si>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</si>
  <si>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</si>
  <si>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</si>
  <si>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</si>
  <si>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</si>
  <si>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</si>
  <si>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</si>
  <si>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</si>
  <si>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</si>
  <si>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</si>
  <si>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</si>
  <si>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</si>
  <si>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</si>
  <si>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</si>
  <si>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</si>
  <si>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</si>
  <si>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</si>
  <si>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</si>
  <si>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</si>
  <si>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</si>
  <si>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</si>
  <si>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</si>
  <si>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</si>
  <si>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</si>
  <si>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</si>
  <si>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</si>
  <si>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</si>
  <si>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</si>
  <si>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</si>
  <si>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</si>
  <si>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</si>
  <si>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</si>
  <si>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</si>
  <si>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</si>
  <si>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</si>
  <si>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</si>
  <si>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</si>
  <si>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</si>
  <si>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</si>
  <si>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</si>
  <si>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</si>
  <si>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</si>
  <si>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</si>
  <si>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</si>
  <si>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</si>
  <si>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</si>
  <si>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</si>
  <si>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</si>
  <si>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</si>
  <si>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</si>
  <si>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</si>
  <si>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</si>
  <si>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</si>
  <si>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</si>
  <si>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</si>
  <si>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</si>
  <si>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</si>
  <si>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</si>
  <si>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</si>
  <si>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</si>
  <si>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</si>
  <si>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</si>
  <si>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</si>
  <si>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</si>
  <si>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</si>
  <si>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</si>
  <si>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</si>
  <si>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</si>
  <si>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</si>
  <si>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</si>
  <si>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</si>
  <si>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</si>
  <si>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</si>
  <si>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</si>
  <si>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</si>
  <si>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</si>
  <si>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</si>
  <si>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</si>
  <si>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</si>
  <si>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</si>
  <si>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</si>
  <si>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</si>
  <si>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</si>
  <si>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</si>
  <si>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</si>
  <si>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</si>
  <si>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</si>
  <si>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</si>
  <si>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</si>
  <si>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</si>
  <si>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</si>
  <si>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</si>
  <si>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</si>
  <si>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</si>
  <si>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</si>
  <si>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</si>
  <si>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</si>
  <si>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</si>
  <si>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</si>
  <si>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</si>
  <si>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</si>
  <si>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</si>
  <si>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</si>
  <si>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</si>
  <si>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</si>
  <si>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</si>
  <si>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</si>
  <si>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</si>
  <si>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</si>
  <si>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</si>
  <si>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</si>
  <si>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</si>
  <si>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</si>
  <si>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</si>
  <si>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</si>
  <si>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</si>
  <si>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</si>
  <si>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</si>
  <si>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</si>
  <si>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</si>
  <si>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</si>
  <si>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</si>
  <si>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</si>
  <si>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</si>
  <si>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</si>
  <si>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</si>
  <si>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</si>
  <si>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</si>
  <si>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</si>
  <si>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</si>
  <si>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</si>
  <si>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</si>
  <si>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</si>
  <si>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</si>
  <si>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</si>
  <si>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</si>
  <si>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</si>
  <si>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</si>
  <si>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</si>
  <si>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</si>
  <si>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</si>
  <si>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</si>
  <si>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</si>
  <si>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</si>
  <si>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</si>
  <si>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</si>
  <si>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</si>
  <si>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</si>
  <si>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</si>
  <si>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</si>
  <si>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</si>
  <si>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</si>
  <si>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</si>
  <si>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</si>
  <si>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</si>
  <si>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</si>
  <si>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</si>
  <si>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</si>
  <si>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</si>
  <si>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</si>
  <si>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</si>
  <si>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</si>
  <si>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</si>
  <si>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</si>
  <si>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</si>
  <si>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</si>
  <si>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</si>
  <si>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</si>
  <si>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</si>
  <si>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</si>
  <si>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</si>
  <si>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</si>
  <si>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</si>
  <si>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</si>
  <si>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</si>
  <si>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</si>
  <si>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</si>
  <si>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</si>
  <si>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</si>
  <si>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</si>
  <si>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</si>
  <si>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</si>
  <si>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</si>
  <si>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</si>
  <si>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</si>
  <si>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</si>
  <si>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</si>
  <si>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</si>
  <si>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</si>
  <si>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</si>
  <si>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</si>
  <si>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</si>
  <si>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</si>
  <si>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</si>
  <si>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</si>
  <si>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</si>
  <si>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</si>
  <si>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</si>
  <si>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</si>
  <si>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</si>
  <si>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</si>
  <si>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</si>
  <si>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</si>
  <si>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</si>
  <si>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</si>
  <si>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</si>
  <si>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</si>
  <si>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</si>
  <si>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</si>
  <si>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</si>
  <si>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</si>
  <si>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</si>
  <si>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</si>
  <si>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</si>
  <si>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</si>
  <si>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</si>
  <si>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</si>
  <si>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</si>
  <si>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</si>
  <si>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</si>
  <si>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</si>
  <si>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</si>
  <si>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</si>
  <si>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</si>
  <si>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</si>
  <si>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</si>
  <si>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</si>
  <si>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</si>
  <si>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</si>
  <si>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</si>
  <si>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</si>
  <si>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</si>
  <si>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</si>
  <si>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</si>
  <si>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</si>
  <si>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</si>
  <si>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</si>
  <si>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</si>
  <si>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</si>
  <si>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</si>
  <si>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</si>
  <si>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</si>
  <si>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</si>
  <si>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</si>
  <si>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</si>
  <si>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</si>
  <si>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</si>
  <si>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</si>
  <si>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</si>
  <si>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</si>
  <si>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</si>
  <si>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</si>
  <si>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</si>
  <si>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</si>
  <si>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</si>
  <si>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</si>
  <si>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</si>
  <si>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</si>
  <si>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</si>
  <si>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</si>
  <si>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</si>
  <si>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</si>
  <si>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</si>
  <si>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</si>
  <si>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</si>
  <si>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</si>
  <si>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</si>
  <si>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</si>
  <si>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</si>
  <si>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</si>
  <si>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</si>
  <si>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</si>
  <si>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</si>
  <si>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</si>
  <si>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</si>
  <si>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</si>
  <si>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</si>
  <si>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</si>
  <si>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</si>
  <si>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</si>
  <si>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</si>
  <si>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</si>
  <si>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</si>
  <si>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</si>
  <si>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</si>
  <si>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</si>
  <si>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</si>
  <si>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</si>
  <si>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</si>
  <si>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</si>
  <si>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</si>
  <si>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</si>
  <si>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</si>
  <si>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</si>
  <si>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</si>
  <si>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</si>
  <si>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</si>
  <si>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</si>
  <si>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</si>
  <si>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</si>
  <si>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</si>
  <si>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</si>
  <si>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</si>
  <si>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</si>
  <si>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</si>
  <si>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</si>
  <si>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</si>
  <si>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</si>
  <si>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</si>
  <si>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</si>
  <si>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</si>
  <si>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</si>
  <si>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</si>
  <si>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</si>
  <si>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</si>
  <si>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</si>
  <si>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</si>
  <si>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</si>
  <si>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</si>
  <si>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</si>
  <si>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</si>
  <si>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</si>
  <si>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</si>
  <si>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</si>
  <si>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</si>
  <si>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</si>
  <si>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</si>
  <si>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</si>
  <si>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</si>
  <si>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</si>
  <si>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</si>
  <si>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</si>
  <si>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</si>
  <si>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</si>
  <si>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</si>
  <si>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</si>
  <si>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</si>
  <si>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</si>
  <si>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</si>
  <si>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</si>
  <si>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</si>
  <si>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</si>
  <si>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</si>
  <si>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</si>
  <si>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</si>
  <si>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</si>
  <si>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</si>
  <si>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</si>
  <si>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</si>
  <si>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</si>
  <si>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</si>
  <si>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</si>
  <si>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</si>
  <si>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</si>
  <si>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</si>
  <si>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</si>
  <si>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</si>
  <si>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</si>
  <si>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</si>
  <si>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</si>
  <si>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</si>
  <si>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</si>
  <si>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</si>
  <si>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</si>
  <si>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</si>
  <si>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</si>
  <si>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</si>
  <si>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</si>
  <si>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</si>
  <si>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</si>
  <si>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</si>
  <si>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</si>
  <si>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</si>
  <si>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</si>
  <si>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</si>
  <si>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</si>
  <si>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</si>
  <si>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</si>
  <si>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</si>
  <si>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</si>
  <si>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</si>
  <si>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</si>
  <si>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</si>
  <si>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</si>
  <si>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</si>
  <si>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</si>
  <si>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</si>
  <si>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</si>
  <si>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</si>
  <si>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</si>
  <si>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</si>
  <si>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</si>
  <si>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</si>
  <si>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</si>
  <si>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</si>
  <si>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</si>
  <si>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</si>
  <si>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</si>
  <si>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</si>
  <si>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</si>
  <si>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</si>
  <si>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</si>
  <si>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</si>
  <si>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</si>
  <si>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</si>
  <si>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</si>
  <si>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</si>
  <si>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</si>
  <si>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</si>
  <si>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</si>
  <si>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</si>
  <si>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</si>
  <si>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</si>
  <si>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</si>
  <si>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</si>
  <si>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</si>
  <si>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</si>
  <si>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</si>
  <si>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</si>
  <si>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</si>
  <si>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</si>
  <si>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</si>
  <si>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</si>
  <si>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</si>
  <si>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</si>
  <si>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</si>
  <si>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</si>
  <si>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</si>
  <si>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</si>
  <si>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</si>
  <si>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</si>
  <si>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</si>
  <si>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</si>
  <si>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</si>
  <si>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</si>
  <si>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</si>
  <si>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</si>
  <si>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</si>
  <si>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</si>
  <si>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</si>
  <si>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</si>
  <si>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</si>
  <si>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</si>
  <si>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</si>
  <si>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</si>
  <si>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</si>
  <si>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</si>
  <si>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</si>
  <si>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</si>
  <si>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</si>
  <si>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</si>
  <si>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</si>
  <si>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</si>
  <si>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</si>
  <si>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</si>
  <si>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</si>
  <si>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</si>
  <si>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</si>
  <si>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</si>
  <si>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</si>
  <si>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</si>
  <si>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</si>
  <si>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</si>
  <si>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</si>
  <si>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</si>
  <si>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</si>
  <si>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</si>
  <si>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</si>
  <si>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</si>
  <si>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</si>
  <si>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</si>
  <si>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</si>
  <si>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</si>
  <si>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</si>
  <si>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</si>
  <si>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</si>
  <si>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</si>
  <si>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</si>
  <si>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</si>
  <si>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</si>
  <si>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</si>
  <si>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</si>
  <si>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</si>
  <si>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</si>
  <si>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</si>
  <si>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</si>
  <si>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</si>
  <si>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</si>
  <si>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</si>
  <si>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</si>
  <si>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</si>
  <si>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</si>
  <si>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</si>
  <si>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</si>
  <si>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</si>
  <si>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</si>
  <si>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</si>
  <si>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</si>
  <si>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</si>
  <si>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</si>
  <si>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</si>
  <si>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</si>
  <si>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</si>
  <si>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</si>
  <si>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</si>
  <si>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</si>
  <si>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</si>
  <si>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</si>
  <si>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</si>
  <si>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</si>
  <si>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</si>
  <si>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</si>
  <si>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</si>
  <si>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</si>
  <si>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</si>
  <si>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</si>
  <si>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</si>
  <si>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</si>
  <si>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</si>
  <si>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</si>
  <si>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</si>
  <si>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</si>
  <si>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</si>
  <si>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</si>
  <si>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</si>
  <si>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</si>
  <si>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</si>
  <si>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</si>
  <si>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</si>
  <si>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</si>
  <si>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</si>
  <si>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</si>
  <si>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</si>
  <si>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</si>
  <si>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</si>
  <si>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</si>
  <si>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</si>
  <si>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</si>
  <si>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</si>
  <si>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</si>
  <si>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</si>
  <si>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</si>
  <si>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</si>
  <si>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</si>
  <si>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</si>
  <si>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</si>
  <si>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</si>
  <si>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</si>
  <si>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</si>
  <si>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</si>
  <si>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</si>
  <si>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</si>
  <si>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</si>
  <si>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</si>
  <si>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</si>
  <si>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</si>
  <si>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</si>
  <si>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</si>
  <si>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</si>
  <si>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</si>
  <si>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</si>
  <si>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</si>
  <si>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</si>
  <si>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</si>
  <si>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</si>
  <si>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</si>
  <si>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</si>
  <si>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</si>
  <si>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</si>
  <si>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</si>
  <si>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</si>
  <si>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</si>
  <si>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</si>
  <si>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</si>
  <si>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</si>
  <si>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</si>
  <si>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</si>
  <si>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</si>
  <si>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</si>
  <si>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</si>
  <si>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</si>
  <si>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</si>
  <si>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</si>
  <si>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</si>
  <si>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</si>
  <si>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</si>
  <si>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</si>
  <si>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</si>
  <si>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</si>
  <si>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</si>
  <si>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</si>
  <si>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</si>
  <si>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</si>
  <si>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</si>
  <si>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</si>
  <si>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</si>
  <si>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</si>
  <si>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</si>
  <si>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</si>
  <si>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</si>
  <si>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</si>
  <si>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</si>
  <si>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</si>
  <si>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</si>
  <si>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</si>
  <si>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</si>
  <si>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</si>
  <si>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</si>
  <si>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</si>
  <si>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</si>
  <si>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</si>
  <si>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</si>
  <si>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</si>
  <si>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</si>
  <si>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</si>
  <si>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</si>
  <si>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</si>
  <si>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</si>
  <si>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</si>
  <si>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</si>
  <si>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</si>
  <si>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</si>
  <si>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</si>
  <si>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</si>
  <si>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</si>
  <si>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</si>
  <si>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</si>
  <si>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</si>
  <si>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</si>
  <si>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</si>
  <si>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</si>
  <si>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</si>
  <si>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</si>
  <si>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</si>
  <si>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</si>
  <si>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</si>
  <si>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</si>
  <si>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</si>
  <si>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</si>
  <si>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</si>
  <si>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</si>
  <si>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</si>
  <si>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</si>
  <si>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</si>
  <si>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</si>
  <si>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</si>
  <si>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</si>
  <si>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</si>
  <si>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</si>
  <si>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</si>
  <si>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</si>
  <si>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</si>
  <si>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</si>
  <si>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</si>
  <si>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</si>
  <si>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</si>
  <si>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</si>
  <si>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</si>
  <si>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</si>
  <si>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</si>
  <si>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</si>
  <si>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</si>
  <si>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</si>
  <si>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</si>
  <si>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</si>
  <si>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</si>
  <si>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</si>
  <si>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</si>
  <si>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</si>
  <si>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</si>
  <si>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</si>
  <si>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</si>
  <si>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</si>
  <si>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</si>
  <si>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</si>
  <si>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</si>
  <si>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</si>
  <si>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</si>
  <si>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</si>
  <si>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</si>
  <si>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</si>
  <si>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</si>
  <si>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</si>
  <si>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</si>
  <si>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</si>
  <si>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</si>
  <si>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</si>
  <si>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</si>
  <si>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</si>
  <si>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</si>
  <si>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</si>
  <si>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</si>
  <si>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</si>
  <si>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</si>
  <si>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</si>
  <si>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</si>
  <si>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</si>
  <si>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</si>
  <si>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</si>
  <si>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</si>
  <si>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</si>
  <si>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</si>
  <si>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</si>
  <si>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</si>
  <si>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</si>
  <si>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</si>
  <si>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</si>
  <si>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</si>
  <si>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</si>
  <si>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</si>
  <si>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</si>
  <si>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</si>
  <si>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</si>
  <si>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</si>
  <si>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</si>
  <si>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</si>
  <si>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</si>
  <si>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</si>
  <si>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</si>
  <si>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</si>
  <si>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</si>
  <si>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</si>
  <si>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</si>
  <si>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</si>
  <si>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</si>
  <si>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</si>
  <si>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</si>
  <si>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</si>
  <si>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</si>
  <si>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</si>
  <si>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</si>
  <si>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</si>
  <si>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</si>
  <si>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</si>
  <si>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</si>
  <si>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</si>
  <si>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</si>
  <si>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</si>
  <si>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</si>
  <si>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</si>
  <si>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</si>
  <si>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</si>
  <si>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</si>
  <si>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</si>
  <si>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</si>
  <si>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</si>
  <si>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</si>
  <si>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</si>
  <si>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</si>
  <si>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</si>
  <si>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</si>
  <si>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</si>
  <si>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</si>
  <si>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</si>
  <si>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</si>
  <si>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</si>
  <si>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</si>
  <si>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</si>
  <si>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</si>
  <si>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</si>
  <si>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</si>
  <si>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</si>
  <si>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</si>
  <si>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</si>
  <si>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</si>
  <si>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</si>
  <si>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</si>
  <si>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</si>
  <si>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</si>
  <si>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</si>
  <si>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</si>
  <si>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</si>
  <si>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</si>
  <si>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</si>
  <si>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</si>
  <si>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</si>
  <si>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</si>
  <si>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</si>
  <si>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</si>
  <si>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</si>
  <si>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</si>
  <si>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</si>
  <si>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</si>
  <si>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</si>
  <si>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</si>
  <si>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</si>
  <si>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</si>
  <si>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</si>
  <si>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</si>
  <si>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</si>
  <si>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</si>
  <si>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</si>
  <si>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</si>
  <si>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</si>
  <si>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</si>
  <si>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</si>
  <si>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</si>
  <si>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</si>
  <si>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</si>
  <si>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</si>
  <si>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</si>
  <si>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</si>
  <si>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</si>
  <si>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</si>
  <si>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</si>
  <si>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</si>
  <si>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</si>
  <si>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</si>
  <si>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</si>
  <si>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</si>
  <si>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</si>
  <si>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</si>
  <si>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</si>
  <si>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</si>
  <si>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</si>
  <si>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</si>
  <si>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</si>
  <si>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</si>
  <si>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</si>
  <si>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</si>
  <si>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</si>
  <si>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</si>
  <si>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</si>
  <si>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</si>
  <si>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</si>
  <si>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</si>
  <si>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</si>
  <si>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</si>
  <si>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</si>
  <si>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</si>
  <si>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</si>
  <si>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</si>
  <si>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</si>
  <si>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</si>
  <si>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</si>
  <si>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</si>
  <si>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</si>
  <si>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</si>
  <si>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</si>
  <si>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</si>
  <si>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</si>
  <si>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</si>
  <si>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</si>
  <si>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</si>
  <si>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</si>
  <si>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</si>
  <si>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</si>
  <si>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</si>
  <si>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</si>
  <si>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</si>
  <si>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</si>
  <si>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</si>
  <si>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</si>
  <si>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</si>
  <si>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</si>
  <si>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</si>
  <si>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</si>
  <si>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</si>
  <si>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</si>
  <si>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</si>
  <si>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</si>
  <si>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</si>
  <si>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</si>
  <si>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</si>
  <si>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</si>
  <si>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</si>
  <si>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</si>
  <si>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</si>
  <si>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</si>
  <si>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</si>
  <si>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</si>
  <si>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</si>
  <si>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</si>
  <si>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</si>
  <si>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</si>
  <si>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</si>
  <si>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</si>
  <si>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</si>
  <si>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</si>
  <si>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</si>
  <si>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</si>
  <si>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</si>
  <si>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</si>
  <si>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</si>
  <si>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</si>
  <si>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</si>
  <si>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</si>
  <si>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</si>
  <si>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</si>
  <si>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</si>
  <si>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</si>
  <si>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</si>
  <si>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</si>
  <si>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</si>
  <si>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</si>
  <si>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</si>
  <si>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</si>
  <si>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</si>
  <si>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</si>
  <si>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</si>
  <si>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</si>
  <si>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</si>
  <si>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</si>
  <si>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</si>
  <si>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</si>
  <si>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</si>
  <si>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</si>
  <si>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</si>
  <si>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</si>
  <si>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</si>
  <si>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</si>
  <si>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</si>
  <si>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</si>
  <si>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</si>
  <si>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</si>
  <si>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</si>
  <si>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</si>
  <si>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</si>
  <si>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</si>
  <si>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</si>
  <si>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</si>
  <si>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</si>
  <si>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</si>
  <si>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</si>
  <si>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</si>
  <si>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</si>
  <si>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</si>
  <si>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</si>
  <si>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</si>
  <si>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</si>
  <si>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</si>
  <si>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</si>
  <si>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</si>
  <si>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</si>
  <si>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</si>
  <si>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</si>
  <si>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</si>
  <si>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</si>
  <si>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</si>
  <si>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</si>
  <si>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</si>
  <si>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</si>
  <si>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</si>
  <si>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</si>
  <si>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</si>
  <si>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</si>
  <si>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</si>
  <si>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</si>
  <si>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</si>
  <si>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</si>
  <si>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</si>
  <si>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</si>
  <si>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</si>
  <si>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</si>
  <si>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</si>
  <si>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</si>
  <si>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</si>
  <si>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</si>
  <si>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</si>
  <si>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</si>
  <si>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</si>
  <si>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</si>
  <si>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</si>
  <si>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</si>
  <si>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</si>
  <si>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</si>
  <si>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</si>
  <si>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</si>
  <si>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</si>
  <si>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</si>
  <si>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</si>
  <si>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</si>
  <si>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</si>
  <si>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</si>
  <si>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</si>
  <si>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</si>
  <si>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</si>
  <si>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</si>
  <si>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</si>
  <si>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</si>
  <si>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</si>
  <si>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</si>
  <si>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</si>
  <si>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</si>
  <si>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</si>
  <si>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</si>
  <si>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</si>
  <si>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</si>
  <si>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</si>
  <si>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</si>
  <si>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</si>
  <si>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</si>
  <si>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</si>
  <si>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</si>
  <si>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</si>
  <si>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</si>
  <si>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</si>
  <si>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</si>
  <si>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</si>
  <si>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</si>
  <si>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</si>
  <si>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</si>
  <si>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</si>
  <si>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</si>
  <si>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</si>
  <si>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</si>
  <si>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</si>
  <si>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</si>
  <si>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</si>
  <si>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</si>
  <si>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</si>
  <si>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</si>
  <si>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</si>
  <si>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</si>
  <si>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</si>
  <si>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</si>
  <si>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</si>
  <si>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</si>
  <si>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</si>
  <si>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</si>
  <si>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</si>
  <si>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</si>
  <si>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</si>
  <si>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</si>
  <si>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</si>
  <si>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</si>
  <si>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</si>
  <si>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</si>
  <si>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</si>
  <si>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</si>
  <si>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</si>
  <si>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</si>
  <si>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</si>
  <si>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</si>
  <si>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</si>
  <si>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</si>
  <si>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</si>
  <si>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</si>
  <si>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</si>
  <si>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</si>
  <si>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</si>
  <si>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</si>
  <si>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</si>
  <si>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</si>
  <si>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</si>
  <si>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</si>
  <si>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</si>
  <si>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</si>
  <si>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</si>
  <si>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</si>
  <si>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</si>
  <si>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</si>
  <si>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</si>
  <si>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</si>
  <si>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</si>
  <si>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</si>
  <si>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</si>
  <si>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</si>
  <si>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</si>
  <si>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</si>
  <si>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</si>
  <si>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</si>
  <si>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</si>
  <si>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</si>
  <si>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</si>
  <si>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</si>
  <si>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</si>
  <si>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</si>
  <si>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</si>
  <si>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</si>
  <si>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</si>
  <si>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</si>
  <si>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</si>
  <si>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</si>
  <si>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</si>
  <si>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</si>
  <si>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</si>
  <si>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</si>
  <si>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</si>
  <si>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</si>
  <si>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</si>
  <si>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</si>
  <si>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</si>
  <si>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</si>
  <si>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</si>
  <si>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</si>
  <si>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</si>
  <si>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</si>
  <si>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</si>
  <si>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</si>
  <si>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</si>
  <si>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</si>
  <si>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</si>
  <si>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</si>
  <si>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</si>
  <si>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</si>
  <si>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</si>
  <si>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</si>
  <si>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</si>
  <si>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</si>
  <si>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</si>
  <si>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</si>
  <si>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</si>
  <si>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</si>
  <si>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</si>
  <si>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</si>
  <si>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</si>
  <si>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</si>
  <si>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</si>
  <si>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</si>
  <si>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</si>
  <si>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</si>
  <si>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</si>
  <si>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</si>
  <si>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</si>
  <si>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</si>
  <si>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</si>
  <si>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</si>
  <si>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</si>
  <si>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</si>
  <si>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</si>
  <si>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</si>
  <si>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</si>
  <si>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</si>
  <si>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</si>
  <si>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</si>
  <si>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</si>
  <si>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</si>
  <si>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</si>
  <si>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</si>
  <si>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</si>
  <si>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</si>
  <si>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</si>
  <si>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</si>
  <si>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</si>
  <si>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</si>
  <si>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</si>
  <si>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</si>
  <si>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</si>
  <si>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</si>
  <si>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</si>
  <si>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</si>
  <si>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</si>
  <si>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</si>
  <si>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</si>
  <si>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</si>
  <si>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</si>
  <si>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</si>
  <si>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</si>
  <si>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</si>
  <si>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</si>
  <si>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</si>
  <si>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</si>
  <si>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</si>
  <si>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</si>
  <si>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</si>
  <si>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</si>
  <si>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</si>
  <si>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</si>
  <si>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</si>
  <si>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</si>
  <si>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</si>
  <si>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</si>
  <si>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</si>
  <si>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</si>
  <si>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</si>
  <si>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</si>
  <si>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</si>
  <si>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</si>
  <si>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</si>
  <si>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</si>
  <si>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</si>
  <si>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</si>
  <si>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</si>
  <si>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</si>
  <si>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</si>
  <si>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</si>
  <si>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</si>
  <si>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</si>
  <si>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</si>
  <si>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</si>
  <si>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</si>
  <si>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</si>
  <si>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</si>
  <si>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</si>
  <si>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</si>
  <si>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</si>
  <si>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</si>
  <si>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</si>
  <si>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</si>
  <si>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</si>
  <si>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</si>
  <si>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</si>
  <si>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</si>
  <si>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</si>
  <si>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</si>
  <si>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</si>
  <si>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</si>
  <si>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</si>
  <si>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</si>
  <si>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</si>
  <si>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</si>
  <si>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</si>
  <si>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</si>
  <si>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</si>
  <si>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</si>
  <si>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</si>
  <si>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</si>
  <si>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</si>
  <si>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</si>
  <si>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</si>
  <si>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</si>
  <si>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</si>
  <si>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</si>
  <si>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</si>
  <si>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</si>
  <si>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</si>
  <si>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</si>
  <si>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</si>
  <si>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</si>
  <si>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</si>
  <si>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</si>
  <si>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</si>
  <si>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</si>
  <si>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</si>
  <si>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</si>
  <si>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</si>
  <si>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</si>
  <si>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</si>
  <si>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</si>
  <si>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</si>
  <si>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</si>
  <si>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</si>
  <si>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</si>
  <si>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</si>
  <si>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</si>
  <si>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</si>
  <si>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</si>
  <si>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</si>
  <si>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</si>
  <si>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</si>
  <si>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</si>
  <si>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</si>
  <si>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</si>
  <si>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</si>
  <si>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</si>
  <si>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</si>
  <si>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</si>
  <si>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</si>
  <si>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</si>
  <si>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</si>
  <si>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</si>
  <si>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</si>
  <si>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</si>
  <si>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</si>
  <si>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</si>
  <si>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</si>
  <si>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</si>
  <si>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</si>
  <si>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</si>
  <si>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</si>
  <si>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</si>
  <si>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</si>
  <si>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</si>
  <si>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</si>
  <si>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</si>
  <si>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</si>
  <si>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</si>
  <si>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</si>
  <si>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</si>
  <si>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</si>
  <si>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</si>
  <si>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</si>
  <si>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</si>
  <si>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</si>
  <si>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</si>
  <si>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</si>
  <si>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</si>
  <si>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</si>
  <si>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</si>
  <si>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</si>
  <si>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</si>
  <si>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</si>
  <si>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</si>
  <si>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</si>
  <si>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</si>
  <si>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</si>
  <si>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</si>
  <si>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</si>
  <si>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</si>
  <si>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</si>
  <si>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</si>
  <si>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</si>
  <si>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</si>
  <si>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</si>
  <si>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</si>
  <si>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</si>
  <si>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</si>
  <si>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</si>
  <si>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</si>
  <si>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</si>
  <si>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</si>
  <si>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</si>
  <si>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</si>
  <si>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</si>
  <si>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</si>
  <si>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</si>
  <si>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</si>
  <si>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</si>
  <si>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</si>
  <si>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</si>
  <si>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</si>
  <si>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</si>
  <si>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</si>
  <si>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</si>
  <si>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</si>
  <si>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</si>
  <si>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</si>
  <si>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</si>
  <si>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</si>
  <si>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</si>
  <si>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</si>
  <si>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</si>
  <si>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</si>
  <si>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</si>
  <si>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</si>
  <si>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</si>
  <si>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</si>
  <si>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</si>
  <si>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</si>
  <si>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</si>
  <si>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</si>
  <si>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</si>
  <si>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</si>
  <si>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</si>
  <si>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</si>
  <si>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</si>
  <si>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</si>
  <si>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</si>
  <si>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</si>
  <si>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</si>
  <si>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</si>
  <si>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</si>
  <si>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</si>
  <si>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</si>
  <si>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</si>
  <si>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</si>
  <si>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</si>
  <si>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</si>
  <si>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</si>
  <si>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</si>
  <si>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</si>
  <si>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</si>
  <si>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</si>
  <si>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</si>
  <si>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</si>
  <si>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</si>
  <si>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</si>
  <si>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</si>
  <si>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</si>
  <si>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</si>
  <si>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</si>
  <si>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</si>
  <si>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</si>
  <si>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</si>
  <si>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</si>
  <si>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</si>
  <si>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</si>
  <si>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</si>
  <si>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</si>
  <si>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</si>
  <si>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</si>
  <si>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</si>
  <si>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</si>
  <si>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</si>
  <si>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</si>
  <si>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</si>
  <si>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</si>
  <si>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</si>
  <si>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</si>
  <si>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</si>
  <si>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</si>
  <si>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</si>
  <si>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</si>
  <si>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</si>
  <si>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</si>
  <si>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</si>
  <si>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</si>
  <si>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</si>
  <si>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</si>
  <si>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</si>
  <si>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</si>
  <si>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</si>
  <si>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</si>
  <si>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</si>
  <si>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</si>
  <si>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</si>
  <si>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</si>
  <si>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</si>
  <si>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</si>
  <si>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</si>
  <si>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</si>
  <si>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</si>
  <si>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</si>
  <si>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</si>
  <si>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</si>
  <si>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</si>
  <si>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</si>
  <si>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</si>
  <si>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</si>
  <si>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</si>
  <si>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</si>
  <si>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</si>
  <si>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</si>
  <si>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</si>
  <si>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</si>
  <si>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</si>
  <si>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</si>
  <si>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</si>
  <si>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</si>
  <si>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</si>
  <si>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</si>
  <si>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</si>
  <si>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</si>
  <si>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</si>
  <si>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</si>
  <si>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</si>
  <si>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</si>
  <si>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</si>
  <si>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</si>
  <si>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</si>
  <si>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</si>
  <si>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</si>
  <si>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</si>
  <si>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</si>
  <si>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</si>
  <si>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</si>
  <si>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</si>
  <si>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</si>
  <si>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</si>
  <si>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</si>
  <si>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</si>
  <si>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</si>
  <si>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</si>
  <si>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</si>
  <si>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</si>
  <si>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</si>
  <si>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</si>
  <si>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</si>
  <si>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</si>
  <si>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</si>
  <si>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</si>
  <si>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</si>
  <si>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</si>
  <si>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</si>
  <si>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</si>
  <si>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</si>
  <si>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</si>
  <si>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</si>
  <si>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</si>
  <si>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</si>
  <si>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</si>
  <si>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</si>
  <si>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</si>
  <si>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</si>
  <si>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</si>
  <si>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</si>
  <si>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</si>
  <si>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</si>
  <si>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</si>
  <si>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</si>
  <si>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</si>
  <si>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</si>
  <si>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</si>
  <si>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</si>
  <si>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</si>
  <si>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</si>
  <si>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</si>
  <si>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</si>
  <si>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</si>
  <si>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</si>
  <si>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</si>
  <si>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</si>
  <si>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</si>
  <si>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</si>
  <si>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</si>
  <si>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</si>
  <si>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</si>
  <si>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</si>
  <si>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</si>
  <si>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</si>
  <si>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</si>
  <si>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</si>
  <si>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</si>
  <si>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</si>
  <si>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</si>
  <si>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</si>
  <si>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</si>
  <si>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</si>
  <si>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</si>
  <si>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</si>
  <si>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</si>
  <si>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</si>
  <si>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</si>
  <si>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</si>
  <si>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</si>
  <si>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</si>
  <si>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</si>
  <si>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</si>
  <si>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</si>
  <si>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</si>
  <si>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</si>
  <si>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</si>
  <si>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</si>
  <si>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</si>
  <si>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</si>
  <si>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</si>
  <si>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</si>
  <si>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</si>
  <si>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</si>
  <si>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</si>
  <si>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</si>
  <si>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</si>
  <si>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</si>
  <si>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</si>
  <si>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</si>
  <si>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</si>
  <si>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</si>
  <si>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</si>
  <si>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</si>
  <si>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</si>
  <si>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</si>
  <si>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</si>
  <si>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</si>
  <si>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</si>
  <si>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</si>
  <si>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</si>
  <si>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</si>
  <si>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</si>
  <si>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</si>
  <si>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</si>
  <si>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</si>
  <si>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</si>
  <si>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</si>
  <si>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</si>
  <si>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</si>
  <si>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</si>
  <si>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</si>
  <si>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</si>
  <si>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</si>
  <si>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</si>
  <si>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</si>
  <si>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</si>
  <si>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</si>
  <si>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</si>
  <si>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</si>
  <si>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</si>
  <si>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</si>
  <si>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</si>
  <si>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</si>
  <si>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</si>
  <si>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</si>
  <si>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</si>
  <si>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</si>
  <si>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</si>
  <si>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</si>
  <si>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</si>
  <si>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</si>
  <si>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</si>
  <si>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</si>
  <si>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</si>
  <si>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</si>
  <si>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</si>
  <si>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</si>
  <si>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</si>
  <si>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</si>
  <si>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</si>
  <si>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</si>
  <si>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</si>
  <si>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</si>
  <si>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</si>
  <si>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</si>
  <si>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</si>
  <si>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</si>
  <si>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</si>
  <si>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</si>
  <si>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</si>
  <si>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</si>
  <si>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</si>
  <si>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</si>
  <si>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</si>
  <si>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</si>
  <si>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</si>
  <si>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</si>
  <si>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</si>
  <si>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</si>
  <si>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</si>
  <si>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</si>
  <si>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</si>
  <si>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</si>
  <si>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</si>
  <si>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</si>
  <si>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</si>
  <si>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</si>
  <si>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</si>
  <si>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</si>
  <si>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</si>
  <si>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</si>
  <si>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</si>
  <si>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</si>
  <si>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</si>
  <si>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</si>
  <si>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</si>
  <si>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</si>
  <si>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</si>
  <si>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</si>
  <si>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</si>
  <si>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</si>
  <si>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</si>
  <si>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</si>
  <si>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</si>
  <si>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</si>
  <si>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</si>
  <si>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</si>
  <si>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</si>
  <si>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</si>
  <si>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</si>
  <si>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</si>
  <si>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</si>
  <si>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</si>
  <si>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</si>
  <si>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</si>
  <si>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</si>
  <si>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</si>
  <si>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</si>
  <si>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</si>
  <si>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</si>
  <si>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</si>
  <si>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</si>
  <si>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</si>
  <si>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</si>
  <si>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</si>
  <si>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</si>
  <si>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</si>
  <si>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</si>
  <si>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</si>
  <si>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</si>
  <si>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</si>
  <si>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</si>
  <si>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</si>
  <si>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</si>
  <si>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</si>
  <si>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</si>
  <si>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</si>
  <si>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</si>
  <si>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</si>
  <si>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</si>
  <si>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</si>
  <si>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</si>
  <si>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</si>
  <si>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</si>
  <si>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</si>
  <si>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</si>
  <si>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</si>
  <si>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</si>
  <si>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</si>
  <si>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</si>
  <si>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</si>
  <si>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</si>
  <si>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</si>
  <si>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</si>
  <si>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</si>
  <si>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</si>
  <si>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</si>
  <si>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</si>
  <si>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</si>
  <si>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</si>
  <si>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</si>
  <si>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</si>
  <si>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</si>
  <si>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</si>
  <si>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</si>
  <si>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</si>
  <si>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</si>
  <si>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</si>
  <si>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</si>
  <si>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</si>
  <si>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</si>
  <si>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</si>
  <si>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</si>
  <si>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</si>
  <si>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</si>
  <si>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</si>
  <si>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</si>
  <si>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</si>
  <si>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</si>
  <si>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</si>
  <si>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</si>
  <si>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</si>
  <si>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</si>
  <si>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</si>
  <si>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</si>
  <si>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</si>
  <si>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</si>
  <si>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</si>
  <si>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</si>
  <si>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</si>
  <si>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</si>
  <si>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</si>
  <si>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</si>
  <si>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</si>
  <si>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</si>
  <si>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</si>
  <si>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</si>
  <si>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</si>
  <si>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</si>
  <si>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</si>
  <si>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</si>
  <si>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</si>
  <si>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</si>
  <si>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</si>
  <si>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</si>
  <si>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</si>
  <si>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</si>
  <si>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</si>
  <si>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</si>
  <si>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</si>
  <si>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</si>
  <si>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</si>
  <si>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</si>
  <si>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</si>
  <si>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</si>
  <si>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</si>
  <si>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</si>
  <si>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</si>
  <si>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</si>
  <si>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</si>
  <si>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</si>
  <si>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</si>
  <si>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</si>
  <si>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</si>
  <si>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</si>
  <si>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</si>
  <si>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</si>
  <si>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</si>
  <si>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</si>
  <si>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</si>
  <si>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</si>
  <si>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</si>
  <si>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</si>
  <si>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</si>
  <si>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</si>
  <si>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</si>
  <si>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</si>
  <si>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</si>
  <si>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</si>
  <si>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</si>
  <si>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</si>
  <si>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</si>
  <si>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</si>
  <si>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</si>
  <si>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</si>
  <si>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</si>
  <si>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</si>
  <si>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</si>
  <si>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</si>
  <si>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</si>
  <si>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</si>
  <si>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</si>
  <si>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</si>
  <si>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</si>
  <si>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</si>
  <si>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</si>
  <si>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</si>
  <si>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</si>
  <si>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</si>
  <si>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</si>
  <si>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</si>
  <si>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</si>
  <si>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</si>
  <si>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</si>
  <si>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</si>
  <si>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</si>
  <si>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</si>
  <si>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</si>
  <si>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</si>
  <si>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</si>
  <si>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</si>
  <si>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</si>
  <si>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</si>
  <si>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</si>
  <si>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</si>
  <si>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</si>
  <si>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</si>
  <si>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</si>
  <si>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</si>
  <si>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</si>
  <si>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</si>
  <si>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</si>
  <si>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</si>
  <si>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</si>
  <si>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</si>
  <si>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</si>
  <si>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</si>
  <si>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</si>
  <si>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</si>
  <si>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</si>
  <si>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</si>
  <si>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</si>
  <si>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</si>
  <si>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</si>
  <si>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</si>
  <si>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</si>
  <si>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</si>
  <si>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</si>
  <si>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</si>
  <si>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</si>
  <si>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</si>
  <si>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</si>
  <si>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</si>
  <si>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</si>
  <si>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</si>
  <si>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</si>
  <si>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</si>
  <si>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</si>
  <si>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</si>
  <si>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</si>
  <si>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</si>
  <si>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</si>
  <si>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</si>
  <si>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</si>
  <si>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</si>
  <si>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</si>
  <si>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</si>
  <si>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</si>
  <si>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</si>
  <si>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</si>
  <si>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</si>
  <si>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</si>
  <si>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</si>
  <si>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</si>
  <si>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</si>
  <si>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</si>
  <si>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</si>
  <si>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</si>
  <si>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</si>
  <si>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</si>
  <si>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</si>
  <si>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</si>
  <si>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</si>
  <si>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</si>
  <si>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</si>
  <si>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</si>
  <si>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</si>
  <si>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</si>
  <si>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</si>
  <si>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</si>
  <si>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</si>
  <si>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</si>
  <si>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</si>
  <si>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</si>
  <si>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</si>
  <si>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</si>
  <si>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</si>
  <si>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</si>
  <si>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</si>
  <si>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</si>
  <si>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</si>
  <si>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</si>
  <si>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</si>
  <si>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</si>
  <si>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</si>
  <si>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</si>
  <si>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</si>
  <si>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</si>
  <si>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</si>
  <si>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</si>
  <si>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</si>
  <si>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</si>
  <si>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</si>
  <si>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</si>
  <si>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</si>
  <si>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</si>
  <si>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</si>
  <si>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</si>
  <si>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</si>
  <si>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</si>
  <si>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</si>
  <si>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</si>
  <si>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</si>
  <si>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</si>
  <si>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</si>
  <si>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</si>
  <si>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</si>
  <si>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</si>
  <si>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</si>
  <si>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</si>
  <si>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</si>
  <si>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</si>
  <si>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</si>
  <si>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</si>
  <si>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</si>
  <si>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</si>
  <si>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</si>
  <si>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</si>
  <si>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</si>
  <si>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</si>
  <si>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</si>
  <si>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</si>
  <si>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</si>
  <si>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</si>
  <si>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</si>
  <si>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</si>
  <si>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</si>
  <si>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</si>
  <si>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</si>
  <si>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</si>
  <si>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</si>
  <si>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</si>
  <si>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</si>
  <si>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</si>
  <si>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</si>
  <si>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</si>
  <si>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</si>
  <si>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</si>
  <si>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</si>
  <si>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</si>
  <si>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</si>
  <si>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</si>
  <si>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</si>
  <si>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</si>
  <si>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</si>
  <si>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</si>
  <si>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</si>
  <si>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</si>
  <si>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</si>
  <si>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</si>
  <si>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</si>
  <si>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</si>
  <si>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</si>
  <si>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</si>
  <si>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</si>
  <si>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</si>
  <si>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</si>
  <si>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</si>
  <si>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</si>
  <si>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</si>
  <si>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</si>
  <si>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</si>
  <si>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</si>
  <si>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</si>
  <si>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</si>
  <si>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</si>
  <si>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</si>
  <si>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</si>
  <si>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</si>
  <si>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</si>
  <si>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</si>
  <si>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</si>
  <si>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</si>
  <si>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</si>
  <si>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</si>
  <si>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</si>
  <si>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</si>
  <si>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</si>
  <si>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</si>
  <si>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</si>
  <si>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</si>
  <si>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</si>
  <si>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</si>
  <si>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</si>
  <si>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</si>
  <si>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</si>
  <si>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</si>
  <si>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</si>
  <si>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</si>
  <si>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</si>
  <si>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</si>
  <si>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</si>
  <si>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</si>
  <si>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</si>
  <si>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</si>
  <si>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</si>
  <si>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</si>
  <si>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</si>
  <si>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</si>
  <si>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</si>
  <si>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</si>
  <si>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</si>
  <si>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</si>
  <si>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</si>
  <si>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</si>
  <si>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</si>
  <si>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</si>
  <si>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</si>
  <si>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</si>
  <si>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</si>
  <si>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</si>
  <si>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</si>
  <si>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</si>
  <si>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</si>
  <si>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</si>
  <si>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</si>
  <si>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</si>
  <si>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</si>
  <si>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</si>
  <si>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</si>
  <si>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</si>
  <si>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</si>
  <si>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</si>
  <si>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</si>
  <si>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</si>
  <si>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</si>
  <si>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</si>
  <si>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</si>
  <si>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</si>
  <si>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</si>
  <si>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</si>
  <si>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</si>
  <si>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</si>
  <si>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</si>
  <si>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</si>
  <si>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</si>
  <si>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</si>
  <si>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</si>
  <si>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</si>
  <si>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</si>
  <si>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</si>
  <si>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</si>
  <si>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</si>
  <si>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</si>
  <si>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</si>
  <si>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</si>
  <si>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</si>
  <si>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</si>
  <si>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</si>
  <si>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</si>
  <si>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</si>
  <si>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</si>
  <si>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</si>
  <si>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</si>
  <si>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</si>
  <si>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</si>
  <si>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</si>
  <si>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</si>
  <si>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</si>
  <si>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</si>
  <si>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</si>
  <si>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</si>
  <si>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</si>
  <si>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</si>
  <si>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</si>
  <si>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</si>
  <si>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</si>
  <si>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</si>
  <si>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</si>
  <si>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</si>
  <si>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</si>
  <si>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</si>
  <si>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</si>
  <si>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</si>
  <si>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</si>
  <si>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</si>
  <si>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</si>
  <si>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</si>
  <si>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</si>
  <si>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</si>
  <si>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</si>
  <si>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</si>
  <si>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</si>
  <si>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</si>
  <si>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</si>
  <si>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</si>
  <si>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</si>
  <si>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</si>
  <si>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</si>
  <si>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</si>
  <si>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</si>
  <si>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</si>
  <si>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</si>
  <si>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</si>
  <si>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</si>
  <si>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</si>
  <si>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</si>
  <si>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</si>
  <si>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</si>
  <si>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</si>
  <si>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</si>
  <si>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</si>
  <si>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</si>
  <si>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</si>
  <si>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</si>
  <si>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</si>
  <si>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</si>
  <si>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</si>
  <si>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</si>
  <si>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</si>
  <si>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</si>
  <si>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</si>
  <si>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</si>
  <si>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</si>
  <si>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</si>
  <si>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</si>
  <si>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</si>
  <si>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</si>
  <si>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</si>
  <si>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</si>
  <si>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</si>
  <si>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</si>
  <si>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</si>
  <si>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</si>
  <si>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</si>
  <si>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</si>
  <si>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</si>
  <si>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</si>
  <si>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</si>
  <si>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</si>
  <si>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</si>
  <si>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</si>
  <si>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</si>
  <si>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</si>
  <si>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</si>
  <si>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</si>
  <si>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</si>
  <si>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</si>
  <si>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</si>
  <si>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</si>
  <si>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</si>
  <si>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</si>
  <si>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</si>
  <si>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</si>
  <si>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</si>
  <si>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</si>
  <si>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</si>
  <si>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</si>
  <si>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</si>
  <si>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</si>
  <si>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</si>
  <si>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</si>
  <si>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</si>
  <si>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</si>
  <si>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</si>
  <si>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</si>
  <si>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</si>
  <si>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</si>
  <si>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</si>
  <si>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</si>
  <si>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</si>
  <si>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</si>
  <si>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</si>
  <si>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</si>
  <si>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</si>
  <si>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</si>
  <si>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</si>
  <si>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</si>
  <si>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</si>
  <si>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</si>
  <si>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</si>
  <si>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</si>
  <si>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</si>
  <si>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</si>
  <si>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</si>
  <si>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</si>
  <si>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</si>
  <si>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</si>
  <si>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</si>
  <si>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</si>
  <si>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</si>
  <si>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</si>
  <si>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</si>
  <si>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</si>
  <si>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</si>
  <si>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</si>
  <si>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</si>
  <si>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</si>
  <si>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</si>
  <si>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</si>
  <si>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</si>
  <si>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</si>
  <si>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</si>
  <si>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</si>
  <si>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</si>
  <si>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</si>
  <si>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</si>
  <si>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</si>
  <si>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</si>
  <si>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</si>
  <si>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</si>
  <si>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</si>
  <si>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</si>
  <si>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</si>
  <si>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</si>
  <si>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</si>
  <si>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</si>
  <si>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</si>
  <si>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</si>
  <si>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</si>
  <si>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</si>
  <si>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</si>
  <si>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</si>
  <si>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</si>
  <si>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</si>
  <si>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</si>
  <si>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</si>
  <si>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</si>
  <si>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</si>
  <si>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</si>
  <si>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</si>
  <si>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</si>
  <si>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</si>
  <si>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</si>
  <si>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</si>
  <si>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</si>
  <si>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</si>
  <si>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</si>
  <si>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</si>
  <si>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</si>
  <si>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</si>
  <si>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</si>
  <si>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</si>
  <si>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</si>
  <si>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</si>
  <si>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</si>
  <si>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</si>
  <si>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</si>
  <si>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</si>
  <si>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</si>
  <si>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</si>
  <si>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</si>
  <si>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</si>
  <si>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</si>
  <si>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</si>
  <si>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</si>
  <si>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</si>
  <si>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</si>
  <si>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</si>
  <si>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</si>
  <si>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</si>
  <si>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</si>
  <si>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</si>
  <si>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</si>
  <si>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</si>
  <si>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</si>
  <si>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</si>
  <si>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</si>
  <si>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</si>
  <si>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</si>
  <si>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</si>
  <si>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</si>
  <si>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</si>
  <si>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</si>
  <si>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</si>
  <si>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</si>
  <si>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</si>
  <si>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</si>
  <si>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</si>
  <si>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</si>
  <si>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</si>
  <si>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</si>
  <si>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</si>
  <si>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</si>
  <si>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</si>
  <si>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</si>
  <si>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</si>
  <si>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</si>
  <si>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</si>
  <si>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</si>
  <si>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</si>
  <si>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</si>
  <si>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</si>
  <si>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</si>
  <si>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</si>
  <si>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</si>
  <si>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</si>
  <si>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</si>
  <si>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</si>
  <si>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</si>
  <si>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</si>
  <si>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</si>
  <si>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</si>
  <si>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</si>
  <si>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</si>
  <si>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</si>
  <si>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</si>
  <si>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</si>
  <si>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</si>
  <si>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</si>
  <si>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</si>
  <si>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</si>
  <si>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</si>
  <si>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</si>
  <si>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</si>
  <si>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</si>
  <si>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</si>
  <si>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</si>
  <si>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</si>
  <si>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</si>
  <si>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</si>
  <si>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</si>
  <si>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</si>
  <si>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</si>
  <si>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</si>
  <si>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</si>
  <si>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</si>
  <si>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</si>
  <si>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</si>
  <si>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</si>
  <si>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</si>
  <si>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</si>
  <si>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</si>
  <si>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</si>
  <si>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</si>
  <si>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</si>
  <si>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</si>
  <si>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</si>
  <si>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</si>
  <si>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</si>
  <si>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</si>
  <si>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</si>
  <si>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</si>
  <si>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</si>
  <si>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</si>
  <si>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</si>
  <si>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</si>
  <si>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</si>
  <si>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</si>
  <si>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</si>
  <si>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</si>
  <si>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</si>
  <si>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</si>
  <si>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</si>
  <si>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</si>
  <si>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</si>
  <si>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</si>
  <si>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</si>
  <si>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</si>
  <si>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</si>
  <si>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</si>
  <si>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</si>
  <si>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</si>
  <si>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</si>
  <si>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</si>
  <si>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</si>
  <si>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</si>
  <si>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</si>
  <si>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</si>
  <si>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</si>
  <si>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</si>
  <si>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</si>
  <si>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</si>
  <si>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</si>
  <si>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</si>
  <si>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</si>
  <si>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</si>
  <si>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</si>
  <si>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</si>
  <si>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</si>
  <si>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</si>
  <si>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</si>
  <si>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</si>
  <si>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</si>
  <si>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</si>
  <si>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</si>
  <si>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</si>
  <si>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</si>
  <si>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</si>
  <si>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</si>
  <si>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</si>
  <si>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</si>
  <si>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</si>
  <si>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</si>
  <si>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</si>
  <si>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</si>
  <si>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</si>
  <si>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</si>
  <si>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</si>
  <si>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</si>
  <si>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</si>
  <si>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</si>
  <si>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</si>
  <si>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</si>
  <si>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</si>
  <si>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</si>
  <si>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</si>
  <si>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</si>
  <si>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</si>
  <si>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</si>
  <si>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</si>
  <si>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</si>
  <si>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</si>
  <si>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</si>
  <si>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</si>
  <si>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</si>
  <si>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</si>
  <si>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</si>
  <si>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</si>
  <si>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</si>
  <si>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</si>
  <si>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</si>
  <si>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</si>
  <si>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</si>
  <si>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</si>
  <si>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</si>
  <si>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</si>
  <si>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</si>
  <si>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</si>
  <si>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</si>
  <si>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</si>
  <si>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</si>
  <si>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</si>
  <si>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</si>
  <si>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</si>
  <si>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</si>
  <si>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</si>
  <si>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</si>
  <si>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</si>
  <si>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</si>
  <si>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</si>
  <si>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</si>
  <si>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</si>
  <si>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</si>
  <si>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</si>
  <si>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</si>
  <si>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</si>
  <si>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</si>
  <si>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</si>
  <si>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</si>
  <si>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</si>
  <si>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</si>
  <si>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</si>
  <si>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</si>
  <si>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</si>
  <si>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</si>
  <si>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</si>
  <si>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</si>
  <si>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</si>
  <si>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</si>
  <si>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</si>
  <si>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</si>
  <si>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</si>
  <si>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</si>
  <si>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</si>
  <si>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</si>
  <si>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</si>
  <si>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</si>
  <si>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</si>
  <si>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</si>
  <si>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</si>
  <si>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</si>
  <si>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</si>
  <si>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</si>
  <si>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</si>
  <si>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</si>
  <si>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</si>
  <si>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</si>
  <si>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</si>
  <si>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</si>
  <si>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</si>
  <si>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</si>
  <si>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</si>
  <si>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</si>
  <si>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</si>
  <si>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</si>
  <si>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</si>
  <si>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</si>
  <si>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</si>
  <si>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</si>
  <si>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</si>
  <si>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</si>
  <si>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</si>
  <si>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</si>
  <si>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</si>
  <si>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</si>
  <si>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</si>
  <si>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</si>
  <si>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</si>
  <si>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</si>
  <si>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</si>
  <si>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</si>
  <si>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</si>
  <si>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</si>
  <si>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</si>
  <si>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</si>
  <si>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</si>
  <si>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</si>
  <si>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</si>
  <si>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</si>
  <si>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</si>
  <si>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</si>
  <si>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</si>
  <si>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</si>
  <si>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</si>
  <si>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</si>
  <si>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</si>
  <si>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</si>
  <si>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</si>
  <si>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</si>
  <si>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</si>
  <si>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</si>
  <si>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</si>
  <si>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</si>
  <si>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</si>
  <si>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</si>
  <si>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</si>
  <si>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</si>
  <si>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</si>
  <si>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</si>
  <si>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</si>
  <si>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</si>
  <si>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</si>
  <si>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</si>
  <si>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</si>
  <si>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</si>
  <si>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</si>
  <si>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</si>
  <si>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</si>
  <si>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</si>
  <si>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</si>
  <si>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</si>
  <si>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</si>
  <si>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</si>
  <si>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</si>
  <si>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</si>
  <si>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</si>
  <si>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</si>
  <si>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</si>
  <si>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</si>
  <si>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</si>
  <si>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</si>
  <si>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</si>
  <si>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</si>
  <si>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</si>
  <si>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</si>
  <si>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</si>
  <si>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</si>
  <si>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</si>
  <si>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</si>
  <si>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</si>
  <si>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</si>
  <si>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</si>
  <si>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</si>
  <si>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</si>
  <si>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</si>
  <si>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</si>
  <si>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</si>
  <si>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</si>
  <si>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</si>
  <si>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</si>
  <si>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</si>
  <si>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</si>
  <si>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</si>
  <si>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</si>
  <si>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</si>
  <si>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</si>
  <si>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</si>
  <si>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</si>
  <si>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</si>
  <si>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</si>
  <si>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</si>
  <si>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</si>
  <si>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</si>
  <si>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</si>
  <si>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</si>
  <si>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</si>
  <si>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</si>
  <si>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</si>
  <si>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</si>
  <si>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</si>
  <si>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</si>
  <si>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</si>
  <si>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</si>
  <si>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</si>
  <si>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</si>
  <si>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</si>
  <si>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</si>
  <si>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</si>
  <si>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</si>
  <si>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</si>
  <si>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</si>
  <si>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</si>
  <si>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</si>
  <si>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</si>
  <si>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</si>
  <si>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</si>
  <si>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</si>
  <si>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</si>
  <si>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</si>
  <si>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</si>
  <si>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</si>
  <si>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</si>
  <si>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</si>
  <si>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</si>
  <si>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</si>
  <si>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</si>
  <si>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</si>
  <si>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</si>
  <si>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</si>
  <si>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</si>
  <si>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</si>
  <si>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</si>
  <si>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</si>
  <si>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</si>
  <si>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</si>
  <si>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</si>
  <si>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</si>
  <si>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</si>
  <si>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</si>
  <si>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</si>
  <si>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</si>
  <si>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</si>
  <si>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</si>
  <si>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</si>
  <si>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</si>
  <si>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</si>
  <si>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</si>
  <si>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</si>
  <si>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</si>
  <si>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</si>
  <si>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</si>
  <si>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</si>
  <si>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</si>
  <si>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</si>
  <si>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</si>
  <si>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</si>
  <si>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</si>
  <si>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</si>
  <si>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</si>
  <si>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</si>
  <si>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</si>
  <si>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</si>
  <si>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</si>
  <si>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</si>
  <si>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</si>
  <si>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</si>
  <si>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</si>
  <si>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</si>
  <si>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</si>
  <si>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</si>
  <si>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</si>
  <si>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</si>
  <si>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</si>
  <si>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</si>
  <si>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</si>
  <si>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</si>
  <si>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</si>
  <si>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</si>
  <si>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</si>
  <si>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</si>
  <si>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</si>
  <si>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</si>
  <si>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</si>
  <si>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</si>
  <si>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</si>
  <si>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</si>
  <si>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</si>
  <si>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</si>
  <si>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</si>
  <si>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</si>
  <si>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</si>
  <si>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</si>
  <si>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</si>
  <si>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</si>
  <si>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</si>
  <si>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</si>
  <si>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</si>
  <si>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</si>
  <si>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</si>
  <si>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</si>
  <si>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بدهی به مهدی 8/2/1398</t>
  </si>
  <si>
    <t>واریز 1.4 میلیون حساب علی</t>
  </si>
  <si>
    <t>9/2/1398</t>
  </si>
  <si>
    <t>واریز 1.55 حساب علی و 1.55 حساب مریم</t>
  </si>
  <si>
    <t>تاصیکو</t>
  </si>
  <si>
    <t>تاصیکو 4895 تا 220</t>
  </si>
  <si>
    <t>10/2/1398</t>
  </si>
  <si>
    <t>پارس 116 تا 4005.4</t>
  </si>
  <si>
    <t>پارس 116 تا 4005.5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</si>
</sst>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3" sqref="C3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5034</v>
      </c>
      <c r="B1" s="99" t="s">
        <v>5035</v>
      </c>
      <c r="C1" s="99" t="s">
        <v>5036</v>
      </c>
      <c r="D1" s="99" t="s">
        <v>5037</v>
      </c>
      <c r="E1" s="99" t="s">
        <v>5047</v>
      </c>
      <c r="F1" s="99" t="s">
        <v>5046</v>
      </c>
      <c r="G1" s="99"/>
      <c r="I1" t="s">
        <v>5039</v>
      </c>
      <c r="J1" t="s">
        <v>5043</v>
      </c>
      <c r="K1" t="s">
        <v>5044</v>
      </c>
    </row>
    <row r="2" spans="1:11">
      <c r="A2" s="99" t="s">
        <v>5038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5040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5041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5042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5038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5045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5042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5048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5049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5050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5051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1550</v>
      </c>
      <c r="D14" s="99">
        <f t="shared" si="1"/>
        <v>11.809102647856786</v>
      </c>
      <c r="E14" s="99"/>
      <c r="F14" s="99">
        <f t="shared" si="2"/>
        <v>0</v>
      </c>
      <c r="G14" s="99"/>
    </row>
    <row r="15" spans="1:11">
      <c r="A15" s="99" t="s">
        <v>5052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67.972899598123348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5015</v>
      </c>
      <c r="E1" t="s">
        <v>5016</v>
      </c>
      <c r="F1" t="s">
        <v>8</v>
      </c>
    </row>
    <row r="2" spans="1:6">
      <c r="A2" t="s">
        <v>5019</v>
      </c>
      <c r="B2">
        <v>237</v>
      </c>
      <c r="C2">
        <v>281</v>
      </c>
      <c r="D2">
        <f>B2/C2</f>
        <v>0.84341637010676151</v>
      </c>
      <c r="E2" t="s">
        <v>5020</v>
      </c>
      <c r="F2" t="s">
        <v>5021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5020</v>
      </c>
      <c r="F3" s="96" t="s">
        <v>5021</v>
      </c>
    </row>
    <row r="4" spans="1:6">
      <c r="A4" t="s">
        <v>5022</v>
      </c>
      <c r="B4">
        <v>195</v>
      </c>
      <c r="C4">
        <v>73</v>
      </c>
      <c r="D4" s="96">
        <f t="shared" si="0"/>
        <v>2.6712328767123288</v>
      </c>
      <c r="E4" t="s">
        <v>5023</v>
      </c>
      <c r="F4" t="s">
        <v>5024</v>
      </c>
    </row>
    <row r="5" spans="1:6">
      <c r="A5" t="s">
        <v>5025</v>
      </c>
      <c r="B5">
        <v>1</v>
      </c>
      <c r="C5">
        <v>1</v>
      </c>
      <c r="D5" s="96">
        <f t="shared" si="0"/>
        <v>1</v>
      </c>
      <c r="E5" t="s">
        <v>5023</v>
      </c>
      <c r="F5" t="s">
        <v>5026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5021</v>
      </c>
    </row>
    <row r="7" spans="1:6">
      <c r="A7" t="s">
        <v>5027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5028</v>
      </c>
      <c r="B8">
        <v>335</v>
      </c>
      <c r="C8">
        <v>141</v>
      </c>
      <c r="D8" s="96">
        <f t="shared" si="0"/>
        <v>2.375886524822695</v>
      </c>
      <c r="F8" s="96" t="s">
        <v>5026</v>
      </c>
    </row>
    <row r="9" spans="1:6">
      <c r="A9" t="s">
        <v>4871</v>
      </c>
      <c r="B9">
        <v>150</v>
      </c>
      <c r="C9">
        <v>240</v>
      </c>
      <c r="D9" s="96">
        <f t="shared" si="0"/>
        <v>0.625</v>
      </c>
      <c r="F9" t="s">
        <v>5029</v>
      </c>
    </row>
    <row r="10" spans="1:6">
      <c r="A10" t="s">
        <v>5030</v>
      </c>
      <c r="B10">
        <v>187</v>
      </c>
      <c r="C10">
        <v>208</v>
      </c>
      <c r="D10" s="96">
        <f t="shared" si="0"/>
        <v>0.89903846153846156</v>
      </c>
      <c r="F10" t="s">
        <v>5020</v>
      </c>
    </row>
    <row r="11" spans="1:6">
      <c r="A11" t="s">
        <v>5031</v>
      </c>
      <c r="B11">
        <v>412</v>
      </c>
      <c r="C11">
        <v>183</v>
      </c>
      <c r="D11" s="96">
        <f t="shared" si="0"/>
        <v>2.2513661202185791</v>
      </c>
      <c r="F11" s="96" t="s">
        <v>5026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5014</v>
      </c>
      <c r="B21">
        <v>113</v>
      </c>
      <c r="C21">
        <v>215</v>
      </c>
      <c r="D21" s="96">
        <f t="shared" si="0"/>
        <v>0.52558139534883719</v>
      </c>
      <c r="E21" t="s">
        <v>5017</v>
      </c>
      <c r="F21" t="s">
        <v>5018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6" sqref="E56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4942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4944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4938</v>
      </c>
      <c r="B4" s="18">
        <v>-960200</v>
      </c>
      <c r="C4" s="18">
        <v>0</v>
      </c>
      <c r="D4" s="113">
        <f t="shared" si="0"/>
        <v>-960200</v>
      </c>
      <c r="E4" s="99" t="s">
        <v>4945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4898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4902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4902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4905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4972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4975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5010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5053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5054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3186124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4898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4913</v>
      </c>
      <c r="B341" s="18">
        <v>433375</v>
      </c>
      <c r="C341" s="18">
        <v>0</v>
      </c>
      <c r="D341" s="18">
        <f t="shared" si="18"/>
        <v>433375</v>
      </c>
      <c r="E341" s="99" t="s">
        <v>4918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4924</v>
      </c>
      <c r="B343" s="18">
        <v>-300000</v>
      </c>
      <c r="C343" s="18">
        <v>0</v>
      </c>
      <c r="D343" s="18">
        <f t="shared" si="18"/>
        <v>-300000</v>
      </c>
      <c r="E343" s="99" t="s">
        <v>4927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4935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4944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4938</v>
      </c>
      <c r="B347" s="18">
        <v>-960200</v>
      </c>
      <c r="C347" s="18">
        <v>0</v>
      </c>
      <c r="D347" s="18">
        <f t="shared" si="18"/>
        <v>-960200</v>
      </c>
      <c r="E347" s="99" t="s">
        <v>4945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"/>
  <sheetViews>
    <sheetView workbookViewId="0">
      <pane ySplit="1" topLeftCell="A262" activePane="bottomLeft" state="frozen"/>
      <selection pane="bottomLeft" activeCell="C279" sqref="C279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1062</v>
      </c>
      <c r="E2" s="11">
        <f>IF(B2&gt;0,1,0)</f>
        <v>1</v>
      </c>
      <c r="F2" s="11">
        <f>B2*(D2-E2)</f>
        <v>102598700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1060</v>
      </c>
      <c r="E3" s="11">
        <f t="shared" ref="E3:E66" si="1">IF(B3&gt;0,1,0)</f>
        <v>1</v>
      </c>
      <c r="F3" s="11">
        <f t="shared" ref="F3:F66" si="2">B3*(D3-E3)</f>
        <v>3177000000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1057</v>
      </c>
      <c r="E4" s="11">
        <f t="shared" si="1"/>
        <v>0</v>
      </c>
      <c r="F4" s="11">
        <f t="shared" si="2"/>
        <v>-211400000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1055</v>
      </c>
      <c r="E5" s="11">
        <f t="shared" si="1"/>
        <v>0</v>
      </c>
      <c r="F5" s="11">
        <f t="shared" si="2"/>
        <v>-105500000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1054</v>
      </c>
      <c r="E6" s="11">
        <f t="shared" si="1"/>
        <v>0</v>
      </c>
      <c r="F6" s="11">
        <f t="shared" si="2"/>
        <v>-57970000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1053</v>
      </c>
      <c r="E7" s="11">
        <f t="shared" si="1"/>
        <v>0</v>
      </c>
      <c r="F7" s="11">
        <f t="shared" si="2"/>
        <v>-210600000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1049</v>
      </c>
      <c r="E8" s="11">
        <f t="shared" si="1"/>
        <v>0</v>
      </c>
      <c r="F8" s="11">
        <f t="shared" si="2"/>
        <v>-209800000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1039</v>
      </c>
      <c r="E9" s="11">
        <f t="shared" si="1"/>
        <v>0</v>
      </c>
      <c r="F9" s="11">
        <f t="shared" si="2"/>
        <v>-987569500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1038</v>
      </c>
      <c r="E10" s="11">
        <f t="shared" si="1"/>
        <v>1</v>
      </c>
      <c r="F10" s="11">
        <f t="shared" si="2"/>
        <v>2074000000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1036</v>
      </c>
      <c r="E11" s="11">
        <f t="shared" si="1"/>
        <v>0</v>
      </c>
      <c r="F11" s="11">
        <f t="shared" si="2"/>
        <v>-1103340000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1033</v>
      </c>
      <c r="E12" s="11">
        <f t="shared" si="1"/>
        <v>0</v>
      </c>
      <c r="F12" s="11">
        <f t="shared" si="2"/>
        <v>-46485000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1032</v>
      </c>
      <c r="E13" s="11">
        <f t="shared" si="1"/>
        <v>0</v>
      </c>
      <c r="F13" s="11">
        <f t="shared" si="2"/>
        <v>-2064722400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1028</v>
      </c>
      <c r="E14" s="11">
        <f t="shared" si="1"/>
        <v>0</v>
      </c>
      <c r="F14" s="11">
        <f t="shared" si="2"/>
        <v>-205600000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1026</v>
      </c>
      <c r="E15" s="11">
        <f t="shared" si="1"/>
        <v>1</v>
      </c>
      <c r="F15" s="11">
        <f t="shared" si="2"/>
        <v>2050000000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1026</v>
      </c>
      <c r="E16" s="11">
        <f t="shared" si="1"/>
        <v>1</v>
      </c>
      <c r="F16" s="11">
        <f t="shared" si="2"/>
        <v>2050000000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1026</v>
      </c>
      <c r="E17" s="11">
        <f t="shared" si="1"/>
        <v>1</v>
      </c>
      <c r="F17" s="11">
        <f t="shared" si="2"/>
        <v>1230000000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1026</v>
      </c>
      <c r="E18" s="11">
        <f t="shared" si="1"/>
        <v>1</v>
      </c>
      <c r="F18" s="11">
        <f t="shared" si="2"/>
        <v>1025000000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1025</v>
      </c>
      <c r="E19" s="11">
        <f t="shared" si="1"/>
        <v>1</v>
      </c>
      <c r="F19" s="11">
        <f t="shared" si="2"/>
        <v>3072000000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1025</v>
      </c>
      <c r="E20" s="11">
        <f t="shared" si="1"/>
        <v>0</v>
      </c>
      <c r="F20" s="11">
        <f t="shared" si="2"/>
        <v>-443517500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1025</v>
      </c>
      <c r="E21" s="11">
        <f t="shared" si="1"/>
        <v>0</v>
      </c>
      <c r="F21" s="11">
        <f t="shared" si="2"/>
        <v>-443517500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1025</v>
      </c>
      <c r="E22" s="11">
        <f t="shared" si="1"/>
        <v>0</v>
      </c>
      <c r="F22" s="11">
        <f t="shared" si="2"/>
        <v>-443517500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1025</v>
      </c>
      <c r="E23" s="11">
        <f t="shared" si="1"/>
        <v>0</v>
      </c>
      <c r="F23" s="11">
        <f t="shared" si="2"/>
        <v>-443517500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1025</v>
      </c>
      <c r="E24" s="11">
        <f t="shared" si="1"/>
        <v>0</v>
      </c>
      <c r="F24" s="11">
        <f t="shared" si="2"/>
        <v>-443517500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1025</v>
      </c>
      <c r="E25" s="11">
        <f t="shared" si="1"/>
        <v>0</v>
      </c>
      <c r="F25" s="11">
        <f t="shared" si="2"/>
        <v>-205000000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1024</v>
      </c>
      <c r="E26" s="11">
        <f t="shared" si="1"/>
        <v>1</v>
      </c>
      <c r="F26" s="11">
        <f t="shared" si="2"/>
        <v>3069000000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1022</v>
      </c>
      <c r="E27" s="11">
        <f t="shared" si="1"/>
        <v>0</v>
      </c>
      <c r="F27" s="11">
        <f t="shared" si="2"/>
        <v>-204400000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1021</v>
      </c>
      <c r="E28" s="11">
        <f t="shared" si="1"/>
        <v>1</v>
      </c>
      <c r="F28" s="11">
        <f t="shared" si="2"/>
        <v>2040000000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1020</v>
      </c>
      <c r="E29" s="11">
        <f t="shared" si="1"/>
        <v>0</v>
      </c>
      <c r="F29" s="11">
        <f t="shared" si="2"/>
        <v>-7140816000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1019</v>
      </c>
      <c r="E30" s="11">
        <f t="shared" si="1"/>
        <v>0</v>
      </c>
      <c r="F30" s="11">
        <f t="shared" si="2"/>
        <v>-3057917100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1018</v>
      </c>
      <c r="E31" s="11">
        <f t="shared" si="1"/>
        <v>0</v>
      </c>
      <c r="F31" s="11">
        <f t="shared" si="2"/>
        <v>-1726426200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1015</v>
      </c>
      <c r="E32" s="11">
        <f t="shared" si="1"/>
        <v>1</v>
      </c>
      <c r="F32" s="11">
        <f t="shared" si="2"/>
        <v>1008220200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1009</v>
      </c>
      <c r="E33" s="11">
        <f t="shared" si="1"/>
        <v>1</v>
      </c>
      <c r="F33" s="11">
        <f t="shared" si="2"/>
        <v>35371728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1008</v>
      </c>
      <c r="E34" s="11">
        <f t="shared" si="1"/>
        <v>0</v>
      </c>
      <c r="F34" s="11">
        <f t="shared" si="2"/>
        <v>-856800000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1000</v>
      </c>
      <c r="E35" s="11">
        <f t="shared" si="1"/>
        <v>0</v>
      </c>
      <c r="F35" s="11">
        <f t="shared" si="2"/>
        <v>-190500000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999</v>
      </c>
      <c r="E36" s="11">
        <f t="shared" si="1"/>
        <v>1</v>
      </c>
      <c r="F36" s="11">
        <f t="shared" si="2"/>
        <v>199600000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999</v>
      </c>
      <c r="E37" s="11">
        <f t="shared" si="1"/>
        <v>0</v>
      </c>
      <c r="F37" s="11">
        <f t="shared" si="2"/>
        <v>-199800000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977</v>
      </c>
      <c r="E38" s="11">
        <f t="shared" si="1"/>
        <v>1</v>
      </c>
      <c r="F38" s="11">
        <f t="shared" si="2"/>
        <v>293586656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976</v>
      </c>
      <c r="E39" s="11">
        <f t="shared" si="1"/>
        <v>0</v>
      </c>
      <c r="F39" s="11">
        <f t="shared" si="2"/>
        <v>-92720000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976</v>
      </c>
      <c r="E40" s="11">
        <f t="shared" si="1"/>
        <v>0</v>
      </c>
      <c r="F40" s="11">
        <f t="shared" si="2"/>
        <v>-85988528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971</v>
      </c>
      <c r="E41" s="11">
        <f t="shared" si="1"/>
        <v>0</v>
      </c>
      <c r="F41" s="11">
        <f t="shared" si="2"/>
        <v>-116520000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949</v>
      </c>
      <c r="E42" s="11">
        <f t="shared" si="1"/>
        <v>1</v>
      </c>
      <c r="F42" s="11">
        <f t="shared" si="2"/>
        <v>948193392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945</v>
      </c>
      <c r="E43" s="11">
        <f t="shared" si="1"/>
        <v>0</v>
      </c>
      <c r="F43" s="11">
        <f t="shared" si="2"/>
        <v>-75600000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941</v>
      </c>
      <c r="E44" s="11">
        <f t="shared" si="1"/>
        <v>0</v>
      </c>
      <c r="F44" s="11">
        <f t="shared" si="2"/>
        <v>-198578289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940</v>
      </c>
      <c r="E45" s="11">
        <f t="shared" si="1"/>
        <v>0</v>
      </c>
      <c r="F45" s="11">
        <f t="shared" si="2"/>
        <v>-188000000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939</v>
      </c>
      <c r="E46" s="11">
        <f t="shared" si="1"/>
        <v>0</v>
      </c>
      <c r="F46" s="11">
        <f t="shared" si="2"/>
        <v>-89205000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937</v>
      </c>
      <c r="E47" s="11">
        <f t="shared" si="1"/>
        <v>0</v>
      </c>
      <c r="F47" s="11">
        <f t="shared" si="2"/>
        <v>-42165000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937</v>
      </c>
      <c r="E48" s="11">
        <f t="shared" si="1"/>
        <v>0</v>
      </c>
      <c r="F48" s="11">
        <f t="shared" si="2"/>
        <v>-60136660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934</v>
      </c>
      <c r="E49" s="11">
        <f t="shared" si="1"/>
        <v>0</v>
      </c>
      <c r="F49" s="11">
        <f t="shared" si="2"/>
        <v>-25670056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933</v>
      </c>
      <c r="E50" s="11">
        <f t="shared" si="1"/>
        <v>0</v>
      </c>
      <c r="F50" s="11">
        <f t="shared" si="2"/>
        <v>-131553000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933</v>
      </c>
      <c r="E51" s="11">
        <f t="shared" si="1"/>
        <v>0</v>
      </c>
      <c r="F51" s="11">
        <f t="shared" si="2"/>
        <v>-24954018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932</v>
      </c>
      <c r="E52" s="11">
        <f t="shared" si="1"/>
        <v>0</v>
      </c>
      <c r="F52" s="11">
        <f t="shared" si="2"/>
        <v>-49675600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931</v>
      </c>
      <c r="E53" s="11">
        <f t="shared" si="1"/>
        <v>1</v>
      </c>
      <c r="F53" s="11">
        <f t="shared" si="2"/>
        <v>930000000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925</v>
      </c>
      <c r="E54" s="11">
        <f t="shared" si="1"/>
        <v>0</v>
      </c>
      <c r="F54" s="11">
        <f t="shared" si="2"/>
        <v>-19425000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924</v>
      </c>
      <c r="E55" s="11">
        <f t="shared" si="1"/>
        <v>0</v>
      </c>
      <c r="F55" s="11">
        <f t="shared" si="2"/>
        <v>-905982000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924</v>
      </c>
      <c r="E56" s="11">
        <f t="shared" si="1"/>
        <v>0</v>
      </c>
      <c r="F56" s="11">
        <f t="shared" si="2"/>
        <v>-41580000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911</v>
      </c>
      <c r="E57" s="11">
        <f t="shared" si="1"/>
        <v>1</v>
      </c>
      <c r="F57" s="11">
        <f t="shared" si="2"/>
        <v>2734721990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911</v>
      </c>
      <c r="E58" s="11">
        <f t="shared" si="1"/>
        <v>1</v>
      </c>
      <c r="F58" s="11">
        <f t="shared" si="2"/>
        <v>1820000000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910</v>
      </c>
      <c r="E59" s="11">
        <f t="shared" si="1"/>
        <v>1</v>
      </c>
      <c r="F59" s="11">
        <f t="shared" si="2"/>
        <v>1818000000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910</v>
      </c>
      <c r="E60" s="11">
        <f t="shared" si="1"/>
        <v>0</v>
      </c>
      <c r="F60" s="11">
        <f t="shared" si="2"/>
        <v>-6371365000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886</v>
      </c>
      <c r="E61" s="11">
        <f t="shared" si="1"/>
        <v>1</v>
      </c>
      <c r="F61" s="11">
        <f t="shared" si="2"/>
        <v>2655000000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885</v>
      </c>
      <c r="E62" s="11">
        <f t="shared" si="1"/>
        <v>0</v>
      </c>
      <c r="F62" s="11">
        <f t="shared" si="2"/>
        <v>-23991465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885</v>
      </c>
      <c r="E63" s="11">
        <f t="shared" si="1"/>
        <v>0</v>
      </c>
      <c r="F63" s="11">
        <f t="shared" si="2"/>
        <v>-29195265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885</v>
      </c>
      <c r="E64" s="11">
        <f t="shared" si="1"/>
        <v>1</v>
      </c>
      <c r="F64" s="11">
        <f t="shared" si="2"/>
        <v>2652000000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885</v>
      </c>
      <c r="E65" s="11">
        <f t="shared" si="1"/>
        <v>1</v>
      </c>
      <c r="F65" s="11">
        <f t="shared" si="2"/>
        <v>2625480000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885</v>
      </c>
      <c r="E66" s="11">
        <f t="shared" si="1"/>
        <v>1</v>
      </c>
      <c r="F66" s="11">
        <f t="shared" si="2"/>
        <v>884000000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885</v>
      </c>
      <c r="E67" s="11">
        <f t="shared" ref="E67:E130" si="4">IF(B67&gt;0,1,0)</f>
        <v>1</v>
      </c>
      <c r="F67" s="11">
        <f t="shared" ref="F67:F248" si="5">B67*(D67-E67)</f>
        <v>26520000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884</v>
      </c>
      <c r="E68" s="11">
        <f t="shared" si="4"/>
        <v>1</v>
      </c>
      <c r="F68" s="11">
        <f t="shared" si="5"/>
        <v>26490000000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883</v>
      </c>
      <c r="E69" s="11">
        <f t="shared" si="4"/>
        <v>0</v>
      </c>
      <c r="F69" s="11">
        <f t="shared" si="5"/>
        <v>-176600000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883</v>
      </c>
      <c r="E70" s="11">
        <f t="shared" si="4"/>
        <v>1</v>
      </c>
      <c r="F70" s="11">
        <f t="shared" si="5"/>
        <v>1234800000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883</v>
      </c>
      <c r="E71" s="11">
        <f t="shared" si="4"/>
        <v>1</v>
      </c>
      <c r="F71" s="11">
        <f t="shared" si="5"/>
        <v>2293200000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883</v>
      </c>
      <c r="E72" s="11">
        <f t="shared" si="4"/>
        <v>0</v>
      </c>
      <c r="F72" s="11">
        <f t="shared" si="5"/>
        <v>-883000000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881</v>
      </c>
      <c r="E73" s="11">
        <f t="shared" si="4"/>
        <v>1</v>
      </c>
      <c r="F73" s="11">
        <f t="shared" si="5"/>
        <v>13200000000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876</v>
      </c>
      <c r="E74" s="11">
        <f t="shared" si="4"/>
        <v>0</v>
      </c>
      <c r="F74" s="11">
        <f t="shared" si="5"/>
        <v>-13143679200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874</v>
      </c>
      <c r="E75" s="11">
        <f t="shared" si="4"/>
        <v>0</v>
      </c>
      <c r="F75" s="11">
        <f t="shared" si="5"/>
        <v>-2622000000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874</v>
      </c>
      <c r="E76" s="11">
        <f t="shared" si="4"/>
        <v>0</v>
      </c>
      <c r="F76" s="11">
        <f t="shared" si="5"/>
        <v>-174800000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874</v>
      </c>
      <c r="E77" s="11">
        <f t="shared" si="4"/>
        <v>0</v>
      </c>
      <c r="F77" s="11">
        <f t="shared" si="5"/>
        <v>-10490622000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870</v>
      </c>
      <c r="E78" s="11">
        <f t="shared" si="4"/>
        <v>0</v>
      </c>
      <c r="F78" s="11">
        <f t="shared" si="5"/>
        <v>-2610783000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865</v>
      </c>
      <c r="E79" s="11">
        <f t="shared" si="4"/>
        <v>1</v>
      </c>
      <c r="F79" s="11">
        <f t="shared" si="5"/>
        <v>19872000000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860</v>
      </c>
      <c r="E80" s="11">
        <f t="shared" si="4"/>
        <v>0</v>
      </c>
      <c r="F80" s="11">
        <f t="shared" si="5"/>
        <v>-516430000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860</v>
      </c>
      <c r="E81" s="11">
        <f t="shared" si="4"/>
        <v>0</v>
      </c>
      <c r="F81" s="11">
        <f t="shared" si="5"/>
        <v>-172000000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859</v>
      </c>
      <c r="E82" s="11">
        <f t="shared" si="4"/>
        <v>1</v>
      </c>
      <c r="F82" s="11">
        <f t="shared" si="5"/>
        <v>243003618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859</v>
      </c>
      <c r="E83" s="11">
        <f t="shared" si="4"/>
        <v>0</v>
      </c>
      <c r="F83" s="11">
        <f t="shared" si="5"/>
        <v>-171800000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857</v>
      </c>
      <c r="E84" s="11">
        <f t="shared" si="4"/>
        <v>1</v>
      </c>
      <c r="F84" s="11">
        <f t="shared" si="5"/>
        <v>1712000000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854</v>
      </c>
      <c r="E85" s="11">
        <f t="shared" si="4"/>
        <v>0</v>
      </c>
      <c r="F85" s="11">
        <f t="shared" si="5"/>
        <v>-170800000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848</v>
      </c>
      <c r="E86" s="11">
        <f t="shared" si="4"/>
        <v>0</v>
      </c>
      <c r="F86" s="11">
        <f t="shared" si="5"/>
        <v>-169600000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846</v>
      </c>
      <c r="E87" s="11">
        <f t="shared" si="4"/>
        <v>0</v>
      </c>
      <c r="F87" s="11">
        <f t="shared" si="5"/>
        <v>-1120950000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831</v>
      </c>
      <c r="E88" s="11">
        <f t="shared" si="4"/>
        <v>0</v>
      </c>
      <c r="F88" s="11">
        <f t="shared" si="5"/>
        <v>-415500000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831</v>
      </c>
      <c r="E89" s="11">
        <f t="shared" si="4"/>
        <v>0</v>
      </c>
      <c r="F89" s="11">
        <f t="shared" si="5"/>
        <v>-99720000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829</v>
      </c>
      <c r="E90" s="11">
        <f t="shared" si="4"/>
        <v>1</v>
      </c>
      <c r="F90" s="11">
        <f t="shared" si="5"/>
        <v>354553740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826</v>
      </c>
      <c r="E91" s="11">
        <f t="shared" si="4"/>
        <v>0</v>
      </c>
      <c r="F91" s="11">
        <f t="shared" si="5"/>
        <v>-2479652000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824</v>
      </c>
      <c r="E92" s="11">
        <f t="shared" si="4"/>
        <v>0</v>
      </c>
      <c r="F92" s="11">
        <f t="shared" si="5"/>
        <v>-168920000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824</v>
      </c>
      <c r="E93" s="11">
        <f t="shared" si="4"/>
        <v>0</v>
      </c>
      <c r="F93" s="11">
        <f t="shared" si="5"/>
        <v>-288812000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813</v>
      </c>
      <c r="E94" s="11">
        <f t="shared" si="4"/>
        <v>1</v>
      </c>
      <c r="F94" s="11">
        <f t="shared" si="5"/>
        <v>812000000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808</v>
      </c>
      <c r="E95" s="11">
        <f t="shared" si="4"/>
        <v>1</v>
      </c>
      <c r="F95" s="11">
        <f t="shared" si="5"/>
        <v>7263000000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806</v>
      </c>
      <c r="E96" s="11">
        <f t="shared" si="4"/>
        <v>0</v>
      </c>
      <c r="F96" s="11">
        <f t="shared" si="5"/>
        <v>-20956000000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806</v>
      </c>
      <c r="E97" s="11">
        <f t="shared" si="4"/>
        <v>0</v>
      </c>
      <c r="F97" s="11">
        <f t="shared" si="5"/>
        <v>-20956000000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806</v>
      </c>
      <c r="E98" s="11">
        <f t="shared" si="4"/>
        <v>1</v>
      </c>
      <c r="F98" s="11">
        <f t="shared" si="5"/>
        <v>20930000000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806</v>
      </c>
      <c r="E99" s="11">
        <f t="shared" si="4"/>
        <v>0</v>
      </c>
      <c r="F99" s="11">
        <f t="shared" si="5"/>
        <v>-161200000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804</v>
      </c>
      <c r="E100" s="11">
        <f t="shared" si="4"/>
        <v>1</v>
      </c>
      <c r="F100" s="11">
        <f t="shared" si="5"/>
        <v>23447600000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799</v>
      </c>
      <c r="E101" s="11">
        <f t="shared" si="4"/>
        <v>1</v>
      </c>
      <c r="F101" s="11">
        <f t="shared" si="5"/>
        <v>319156110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798</v>
      </c>
      <c r="E102" s="11">
        <f t="shared" si="4"/>
        <v>1</v>
      </c>
      <c r="F102" s="11">
        <f t="shared" si="5"/>
        <v>1594000000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797</v>
      </c>
      <c r="E103" s="11">
        <f t="shared" si="4"/>
        <v>1</v>
      </c>
      <c r="F103" s="11">
        <f t="shared" si="5"/>
        <v>5970000000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797</v>
      </c>
      <c r="E104" s="11">
        <f t="shared" si="4"/>
        <v>0</v>
      </c>
      <c r="F104" s="11">
        <f t="shared" si="5"/>
        <v>-52602000000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797</v>
      </c>
      <c r="E105" s="11">
        <f t="shared" si="4"/>
        <v>0</v>
      </c>
      <c r="F105" s="11">
        <f t="shared" si="5"/>
        <v>-115565000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795</v>
      </c>
      <c r="E106" s="11">
        <f t="shared" si="4"/>
        <v>1</v>
      </c>
      <c r="F106" s="11">
        <f t="shared" si="5"/>
        <v>4764000000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793</v>
      </c>
      <c r="E107" s="11">
        <f t="shared" si="4"/>
        <v>0</v>
      </c>
      <c r="F107" s="11">
        <f t="shared" si="5"/>
        <v>-4762678700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790</v>
      </c>
      <c r="E108" s="11">
        <f t="shared" si="4"/>
        <v>1</v>
      </c>
      <c r="F108" s="11">
        <f t="shared" si="5"/>
        <v>4734000000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778</v>
      </c>
      <c r="E109" s="11">
        <f t="shared" si="4"/>
        <v>0</v>
      </c>
      <c r="F109" s="11">
        <f t="shared" si="5"/>
        <v>-93360000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777</v>
      </c>
      <c r="E110" s="11">
        <f t="shared" si="4"/>
        <v>1</v>
      </c>
      <c r="F110" s="11">
        <f t="shared" si="5"/>
        <v>3104000000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776</v>
      </c>
      <c r="E111" s="11">
        <f t="shared" si="4"/>
        <v>1</v>
      </c>
      <c r="F111" s="11">
        <f t="shared" si="5"/>
        <v>2170000000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772</v>
      </c>
      <c r="E112" s="11">
        <f t="shared" si="4"/>
        <v>0</v>
      </c>
      <c r="F112" s="11">
        <f t="shared" si="5"/>
        <v>-154400000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771</v>
      </c>
      <c r="E113" s="11">
        <f t="shared" si="4"/>
        <v>1</v>
      </c>
      <c r="F113" s="11">
        <f t="shared" si="5"/>
        <v>55678700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754</v>
      </c>
      <c r="E114" s="11">
        <f t="shared" si="4"/>
        <v>0</v>
      </c>
      <c r="F114" s="11">
        <f t="shared" si="5"/>
        <v>-150800000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753</v>
      </c>
      <c r="E115" s="11">
        <f t="shared" si="4"/>
        <v>0</v>
      </c>
      <c r="F115" s="23">
        <f t="shared" si="5"/>
        <v>-8283000000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753</v>
      </c>
      <c r="E116" s="11">
        <f t="shared" si="4"/>
        <v>0</v>
      </c>
      <c r="F116" s="11">
        <f t="shared" si="5"/>
        <v>-150600000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751</v>
      </c>
      <c r="E117" s="11">
        <f t="shared" si="4"/>
        <v>0</v>
      </c>
      <c r="F117" s="11">
        <f t="shared" si="5"/>
        <v>-338325500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751</v>
      </c>
      <c r="E118" s="11">
        <f t="shared" si="4"/>
        <v>0</v>
      </c>
      <c r="F118" s="11">
        <f t="shared" si="5"/>
        <v>-150200000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745</v>
      </c>
      <c r="E119" s="11">
        <f t="shared" si="4"/>
        <v>0</v>
      </c>
      <c r="F119" s="11">
        <f t="shared" si="5"/>
        <v>-115139750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745</v>
      </c>
      <c r="E120" s="11">
        <f t="shared" si="4"/>
        <v>0</v>
      </c>
      <c r="F120" s="11">
        <f t="shared" si="5"/>
        <v>-238400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744</v>
      </c>
      <c r="E121" s="11">
        <f t="shared" si="4"/>
        <v>0</v>
      </c>
      <c r="F121" s="11">
        <f t="shared" si="5"/>
        <v>-321408000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738</v>
      </c>
      <c r="E122" s="11">
        <f t="shared" si="4"/>
        <v>1</v>
      </c>
      <c r="F122" s="11">
        <f t="shared" si="5"/>
        <v>54569691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717</v>
      </c>
      <c r="E123" s="11">
        <f t="shared" si="4"/>
        <v>0</v>
      </c>
      <c r="F123" s="11">
        <f t="shared" si="5"/>
        <v>-37284000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676</v>
      </c>
      <c r="E124" s="11">
        <f t="shared" si="4"/>
        <v>1</v>
      </c>
      <c r="F124" s="11">
        <f t="shared" si="5"/>
        <v>801225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675</v>
      </c>
      <c r="E125" s="11">
        <f t="shared" si="4"/>
        <v>1</v>
      </c>
      <c r="F125" s="11">
        <f t="shared" si="5"/>
        <v>1617600000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673</v>
      </c>
      <c r="E126" s="11">
        <f t="shared" si="4"/>
        <v>1</v>
      </c>
      <c r="F126" s="11">
        <f t="shared" si="5"/>
        <v>902361600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673</v>
      </c>
      <c r="E127" s="11">
        <f t="shared" si="4"/>
        <v>1</v>
      </c>
      <c r="F127" s="11">
        <f t="shared" si="5"/>
        <v>902361600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661</v>
      </c>
      <c r="E128" s="11">
        <f t="shared" si="4"/>
        <v>0</v>
      </c>
      <c r="F128" s="11">
        <f t="shared" si="5"/>
        <v>-132200000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659</v>
      </c>
      <c r="E129" s="11">
        <f t="shared" si="4"/>
        <v>0</v>
      </c>
      <c r="F129" s="11">
        <f>B129*(D129-E129)</f>
        <v>-10292262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658</v>
      </c>
      <c r="E130" s="11">
        <f t="shared" si="4"/>
        <v>0</v>
      </c>
      <c r="F130" s="11">
        <f t="shared" si="5"/>
        <v>-131600000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657</v>
      </c>
      <c r="E131" s="11">
        <f t="shared" ref="E131:E248" si="7">IF(B131&gt;0,1,0)</f>
        <v>0</v>
      </c>
      <c r="F131" s="11">
        <f t="shared" si="5"/>
        <v>-131400000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656</v>
      </c>
      <c r="E132" s="11">
        <f t="shared" si="7"/>
        <v>0</v>
      </c>
      <c r="F132" s="11">
        <f t="shared" si="5"/>
        <v>-255840000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656</v>
      </c>
      <c r="E133" s="11">
        <f t="shared" si="7"/>
        <v>0</v>
      </c>
      <c r="F133" s="11">
        <f t="shared" si="5"/>
        <v>-16072000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655</v>
      </c>
      <c r="E134" s="11">
        <f t="shared" si="7"/>
        <v>0</v>
      </c>
      <c r="F134" s="11">
        <f t="shared" si="5"/>
        <v>-62225000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651</v>
      </c>
      <c r="E135" s="11">
        <f t="shared" si="7"/>
        <v>0</v>
      </c>
      <c r="F135" s="11">
        <f t="shared" si="5"/>
        <v>-130200000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649</v>
      </c>
      <c r="E136" s="11">
        <f t="shared" si="7"/>
        <v>1</v>
      </c>
      <c r="F136" s="11">
        <f t="shared" si="5"/>
        <v>32400000000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648</v>
      </c>
      <c r="E137" s="11">
        <f t="shared" si="7"/>
        <v>1</v>
      </c>
      <c r="F137" s="11">
        <f t="shared" si="5"/>
        <v>7764000000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646</v>
      </c>
      <c r="E138" s="11">
        <f t="shared" si="7"/>
        <v>1</v>
      </c>
      <c r="F138" s="11">
        <f t="shared" si="5"/>
        <v>1290000000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645</v>
      </c>
      <c r="E139" s="11">
        <f t="shared" si="7"/>
        <v>1</v>
      </c>
      <c r="F139" s="11">
        <f t="shared" si="5"/>
        <v>56374472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632</v>
      </c>
      <c r="E140" s="11">
        <f t="shared" si="7"/>
        <v>0</v>
      </c>
      <c r="F140" s="11">
        <f t="shared" si="5"/>
        <v>-1896568800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631</v>
      </c>
      <c r="E141" s="11">
        <f t="shared" si="7"/>
        <v>0</v>
      </c>
      <c r="F141" s="11">
        <f t="shared" si="5"/>
        <v>-1893567900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614</v>
      </c>
      <c r="E142" s="11">
        <f t="shared" si="7"/>
        <v>1</v>
      </c>
      <c r="F142" s="11">
        <f t="shared" si="5"/>
        <v>369041325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614</v>
      </c>
      <c r="E143" s="11">
        <f t="shared" si="7"/>
        <v>0</v>
      </c>
      <c r="F143" s="11">
        <f t="shared" si="5"/>
        <v>-28244000000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583</v>
      </c>
      <c r="E144" s="11">
        <f t="shared" si="7"/>
        <v>1</v>
      </c>
      <c r="F144" s="11">
        <f t="shared" si="5"/>
        <v>89690274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582</v>
      </c>
      <c r="E145" s="11">
        <f t="shared" si="7"/>
        <v>1</v>
      </c>
      <c r="F145" s="11">
        <f t="shared" si="5"/>
        <v>1743000000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579</v>
      </c>
      <c r="E146" s="11">
        <f t="shared" si="7"/>
        <v>0</v>
      </c>
      <c r="F146" s="11">
        <f t="shared" si="5"/>
        <v>-115800000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574</v>
      </c>
      <c r="E147" s="11">
        <f t="shared" si="7"/>
        <v>0</v>
      </c>
      <c r="F147" s="11">
        <f t="shared" si="5"/>
        <v>-114800000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573</v>
      </c>
      <c r="E148" s="11">
        <f t="shared" si="7"/>
        <v>0</v>
      </c>
      <c r="F148" s="11">
        <f t="shared" si="5"/>
        <v>-114600000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569</v>
      </c>
      <c r="E149" s="11">
        <f t="shared" si="7"/>
        <v>0</v>
      </c>
      <c r="F149" s="11">
        <f t="shared" si="5"/>
        <v>-113800000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568</v>
      </c>
      <c r="E150" s="11">
        <f t="shared" si="7"/>
        <v>1</v>
      </c>
      <c r="F150" s="11">
        <f t="shared" si="5"/>
        <v>13649617800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566</v>
      </c>
      <c r="E151" s="11">
        <f t="shared" si="7"/>
        <v>0</v>
      </c>
      <c r="F151" s="11">
        <f t="shared" si="5"/>
        <v>-113200000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560</v>
      </c>
      <c r="E152" s="11">
        <f t="shared" si="7"/>
        <v>0</v>
      </c>
      <c r="F152" s="11">
        <f t="shared" si="5"/>
        <v>-16800000000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559</v>
      </c>
      <c r="E153" s="11">
        <f t="shared" si="7"/>
        <v>0</v>
      </c>
      <c r="F153" s="11">
        <f t="shared" si="5"/>
        <v>-29068000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559</v>
      </c>
      <c r="E154" s="11">
        <f t="shared" si="7"/>
        <v>0</v>
      </c>
      <c r="F154" s="11">
        <f t="shared" si="5"/>
        <v>-76024000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554</v>
      </c>
      <c r="E155" s="11">
        <f t="shared" si="7"/>
        <v>1</v>
      </c>
      <c r="F155" s="11">
        <f t="shared" si="5"/>
        <v>1659000000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553</v>
      </c>
      <c r="E156" s="11">
        <f t="shared" si="7"/>
        <v>1</v>
      </c>
      <c r="F156" s="11">
        <f t="shared" si="5"/>
        <v>104384856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553</v>
      </c>
      <c r="E157" s="11">
        <f t="shared" si="7"/>
        <v>1</v>
      </c>
      <c r="F157" s="11">
        <f t="shared" si="5"/>
        <v>13373690400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545</v>
      </c>
      <c r="E158" s="11">
        <f t="shared" si="7"/>
        <v>1</v>
      </c>
      <c r="F158" s="11">
        <f t="shared" si="5"/>
        <v>13216588800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545</v>
      </c>
      <c r="E159" s="11">
        <f t="shared" si="7"/>
        <v>0</v>
      </c>
      <c r="F159" s="11">
        <f t="shared" si="5"/>
        <v>-109545000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540</v>
      </c>
      <c r="E160" s="11">
        <f t="shared" si="7"/>
        <v>0</v>
      </c>
      <c r="F160" s="11">
        <f t="shared" si="5"/>
        <v>-108000000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537</v>
      </c>
      <c r="E161" s="11">
        <f t="shared" si="7"/>
        <v>0</v>
      </c>
      <c r="F161" s="11">
        <f t="shared" si="5"/>
        <v>-107400000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533</v>
      </c>
      <c r="E162" s="11">
        <f t="shared" si="7"/>
        <v>0</v>
      </c>
      <c r="F162" s="11">
        <f t="shared" si="5"/>
        <v>-106600000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530</v>
      </c>
      <c r="E163" s="11">
        <f t="shared" si="7"/>
        <v>0</v>
      </c>
      <c r="F163" s="11">
        <f t="shared" si="5"/>
        <v>-106000000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523</v>
      </c>
      <c r="E164" s="11">
        <f t="shared" si="7"/>
        <v>1</v>
      </c>
      <c r="F164" s="11">
        <f t="shared" si="5"/>
        <v>238905828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520</v>
      </c>
      <c r="E165" s="11">
        <f t="shared" si="7"/>
        <v>1</v>
      </c>
      <c r="F165" s="11">
        <f t="shared" si="5"/>
        <v>1401300000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520</v>
      </c>
      <c r="E166" s="11">
        <f t="shared" si="7"/>
        <v>1</v>
      </c>
      <c r="F166" s="11">
        <f t="shared" si="5"/>
        <v>1297500000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513</v>
      </c>
      <c r="E167" s="11">
        <f t="shared" si="7"/>
        <v>0</v>
      </c>
      <c r="F167" s="11">
        <f t="shared" si="5"/>
        <v>-102600000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511</v>
      </c>
      <c r="E168" s="11">
        <f t="shared" si="7"/>
        <v>0</v>
      </c>
      <c r="F168" s="11">
        <f t="shared" si="5"/>
        <v>-102200000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505</v>
      </c>
      <c r="E169" s="11">
        <f t="shared" si="7"/>
        <v>0</v>
      </c>
      <c r="F169" s="11">
        <f t="shared" si="5"/>
        <v>-101000000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502</v>
      </c>
      <c r="E170" s="11">
        <f t="shared" si="7"/>
        <v>0</v>
      </c>
      <c r="F170" s="11">
        <f t="shared" si="5"/>
        <v>-100400000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502</v>
      </c>
      <c r="E171" s="11">
        <f t="shared" si="7"/>
        <v>1</v>
      </c>
      <c r="F171" s="11">
        <f t="shared" si="5"/>
        <v>1503000000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499</v>
      </c>
      <c r="E172" s="11">
        <f t="shared" si="7"/>
        <v>0</v>
      </c>
      <c r="F172" s="11">
        <f t="shared" si="5"/>
        <v>-99800000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498</v>
      </c>
      <c r="E173" s="11">
        <f t="shared" si="7"/>
        <v>1</v>
      </c>
      <c r="F173" s="11">
        <f t="shared" si="5"/>
        <v>1491000000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497</v>
      </c>
      <c r="E174" s="11">
        <f t="shared" si="7"/>
        <v>1</v>
      </c>
      <c r="F174" s="11">
        <f t="shared" si="5"/>
        <v>992000000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496</v>
      </c>
      <c r="E175" s="11">
        <f t="shared" si="7"/>
        <v>1</v>
      </c>
      <c r="F175" s="11">
        <f t="shared" si="5"/>
        <v>643500000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494</v>
      </c>
      <c r="E176" s="11">
        <f t="shared" si="7"/>
        <v>0</v>
      </c>
      <c r="F176" s="11">
        <f t="shared" si="5"/>
        <v>-98800000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494</v>
      </c>
      <c r="E177" s="11">
        <f t="shared" si="7"/>
        <v>1</v>
      </c>
      <c r="F177" s="11">
        <f t="shared" si="5"/>
        <v>838100000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493</v>
      </c>
      <c r="E178" s="11">
        <f t="shared" si="7"/>
        <v>0</v>
      </c>
      <c r="F178" s="11">
        <f t="shared" si="5"/>
        <v>-98600000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492</v>
      </c>
      <c r="E179" s="11">
        <f t="shared" si="7"/>
        <v>1</v>
      </c>
      <c r="F179" s="11">
        <f t="shared" si="5"/>
        <v>280602572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489</v>
      </c>
      <c r="E180" s="11">
        <f t="shared" si="7"/>
        <v>1</v>
      </c>
      <c r="F180" s="11">
        <f t="shared" si="5"/>
        <v>1464000000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482</v>
      </c>
      <c r="E181" s="11">
        <f t="shared" si="7"/>
        <v>1</v>
      </c>
      <c r="F181" s="11">
        <f t="shared" si="5"/>
        <v>962000000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474</v>
      </c>
      <c r="E182" s="11">
        <f t="shared" si="7"/>
        <v>0</v>
      </c>
      <c r="F182" s="11">
        <f t="shared" si="5"/>
        <v>-1043131800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462</v>
      </c>
      <c r="E183" s="11">
        <f t="shared" si="7"/>
        <v>1</v>
      </c>
      <c r="F183" s="11">
        <f t="shared" si="5"/>
        <v>311215107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432</v>
      </c>
      <c r="E184" s="11">
        <f t="shared" si="7"/>
        <v>1</v>
      </c>
      <c r="F184" s="11">
        <f t="shared" si="5"/>
        <v>291787000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417</v>
      </c>
      <c r="E185" s="11">
        <f t="shared" si="7"/>
        <v>0</v>
      </c>
      <c r="F185" s="11">
        <f t="shared" si="5"/>
        <v>-4170000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412</v>
      </c>
      <c r="E186" s="11">
        <f t="shared" si="7"/>
        <v>0</v>
      </c>
      <c r="F186" s="11">
        <f t="shared" si="5"/>
        <v>-33166000000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407</v>
      </c>
      <c r="E187" s="11">
        <f t="shared" si="7"/>
        <v>0</v>
      </c>
      <c r="F187" s="11">
        <f t="shared" si="5"/>
        <v>-447700000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407</v>
      </c>
      <c r="E188" s="11">
        <f t="shared" si="7"/>
        <v>1</v>
      </c>
      <c r="F188" s="11">
        <f t="shared" si="5"/>
        <v>1218000000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406</v>
      </c>
      <c r="E189" s="11">
        <f t="shared" si="7"/>
        <v>1</v>
      </c>
      <c r="F189" s="11">
        <f t="shared" si="5"/>
        <v>810000000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406</v>
      </c>
      <c r="E190" s="11">
        <f t="shared" si="7"/>
        <v>0</v>
      </c>
      <c r="F190" s="11">
        <f t="shared" si="5"/>
        <v>-2030000000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405</v>
      </c>
      <c r="E191" s="11">
        <f t="shared" si="7"/>
        <v>1</v>
      </c>
      <c r="F191" s="11">
        <f t="shared" si="5"/>
        <v>195232192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401</v>
      </c>
      <c r="E192" s="11">
        <f t="shared" si="7"/>
        <v>0</v>
      </c>
      <c r="F192" s="11">
        <f t="shared" si="5"/>
        <v>-46235300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397</v>
      </c>
      <c r="E193" s="11">
        <f t="shared" si="7"/>
        <v>1</v>
      </c>
      <c r="F193" s="11">
        <f t="shared" si="5"/>
        <v>35640000000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390</v>
      </c>
      <c r="E194" s="11">
        <f t="shared" si="7"/>
        <v>1</v>
      </c>
      <c r="F194" s="11">
        <f t="shared" si="5"/>
        <v>20228000000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390</v>
      </c>
      <c r="E195" s="11">
        <f t="shared" si="7"/>
        <v>1</v>
      </c>
      <c r="F195" s="99">
        <f t="shared" si="5"/>
        <v>9725000000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390</v>
      </c>
      <c r="E196" s="99">
        <f t="shared" si="7"/>
        <v>0</v>
      </c>
      <c r="F196" s="99">
        <f t="shared" si="5"/>
        <v>-65520000000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383</v>
      </c>
      <c r="E197" s="99">
        <f t="shared" si="7"/>
        <v>0</v>
      </c>
      <c r="F197" s="99">
        <f t="shared" si="5"/>
        <v>-63386500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379</v>
      </c>
      <c r="E198" s="99">
        <f t="shared" si="7"/>
        <v>0</v>
      </c>
      <c r="F198" s="99">
        <f t="shared" si="5"/>
        <v>-75800000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379</v>
      </c>
      <c r="E199" s="99">
        <f t="shared" si="7"/>
        <v>0</v>
      </c>
      <c r="F199" s="99">
        <f t="shared" si="5"/>
        <v>-17805799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376</v>
      </c>
      <c r="E200" s="99">
        <f t="shared" si="7"/>
        <v>0</v>
      </c>
      <c r="F200" s="99">
        <f t="shared" si="5"/>
        <v>-1748400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374</v>
      </c>
      <c r="E201" s="99">
        <f t="shared" si="7"/>
        <v>1</v>
      </c>
      <c r="F201" s="99">
        <f t="shared" si="5"/>
        <v>59615844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371</v>
      </c>
      <c r="E202" s="99">
        <f t="shared" si="7"/>
        <v>0</v>
      </c>
      <c r="F202" s="99">
        <f t="shared" si="5"/>
        <v>-111485500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371</v>
      </c>
      <c r="E203" s="99">
        <f t="shared" si="7"/>
        <v>1</v>
      </c>
      <c r="F203" s="99">
        <f t="shared" si="5"/>
        <v>2220000000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369</v>
      </c>
      <c r="E204" s="99">
        <f t="shared" si="7"/>
        <v>0</v>
      </c>
      <c r="F204" s="99">
        <f t="shared" si="5"/>
        <v>-252765000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368</v>
      </c>
      <c r="E205" s="99">
        <f t="shared" si="7"/>
        <v>0</v>
      </c>
      <c r="F205" s="99">
        <f t="shared" si="5"/>
        <v>-1104000000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367</v>
      </c>
      <c r="E206" s="99">
        <f t="shared" si="7"/>
        <v>0</v>
      </c>
      <c r="F206" s="99">
        <f t="shared" si="5"/>
        <v>-57252000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366</v>
      </c>
      <c r="E207" s="99">
        <f t="shared" si="7"/>
        <v>0</v>
      </c>
      <c r="F207" s="99">
        <f t="shared" si="5"/>
        <v>-24156000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365</v>
      </c>
      <c r="E208" s="99">
        <f t="shared" si="7"/>
        <v>0</v>
      </c>
      <c r="F208" s="99">
        <f t="shared" si="5"/>
        <v>-912828500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363</v>
      </c>
      <c r="E209" s="99">
        <f t="shared" si="7"/>
        <v>1</v>
      </c>
      <c r="F209" s="99">
        <f t="shared" si="5"/>
        <v>1086000000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363</v>
      </c>
      <c r="E210" s="99">
        <f t="shared" si="7"/>
        <v>0</v>
      </c>
      <c r="F210" s="99">
        <f t="shared" si="5"/>
        <v>-944308200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361</v>
      </c>
      <c r="E211" s="99">
        <f t="shared" si="7"/>
        <v>1</v>
      </c>
      <c r="F211" s="99">
        <f t="shared" si="5"/>
        <v>360000000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359</v>
      </c>
      <c r="E212" s="99">
        <f t="shared" si="7"/>
        <v>1</v>
      </c>
      <c r="F212" s="99">
        <f t="shared" si="5"/>
        <v>483300000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358</v>
      </c>
      <c r="E213" s="99">
        <f t="shared" si="7"/>
        <v>0</v>
      </c>
      <c r="F213" s="99">
        <f t="shared" si="5"/>
        <v>-787600000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358</v>
      </c>
      <c r="E214" s="99">
        <f t="shared" si="7"/>
        <v>0</v>
      </c>
      <c r="F214" s="99">
        <f t="shared" si="5"/>
        <v>-179179000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355</v>
      </c>
      <c r="E215" s="99">
        <f t="shared" si="7"/>
        <v>0</v>
      </c>
      <c r="F215" s="99">
        <f t="shared" si="5"/>
        <v>-15975000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355</v>
      </c>
      <c r="E216" s="99">
        <f t="shared" si="7"/>
        <v>1</v>
      </c>
      <c r="F216" s="99">
        <f t="shared" si="5"/>
        <v>354000000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355</v>
      </c>
      <c r="E217" s="99">
        <f t="shared" si="7"/>
        <v>0</v>
      </c>
      <c r="F217" s="99">
        <f t="shared" si="5"/>
        <v>-35500000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354</v>
      </c>
      <c r="E218" s="99">
        <f t="shared" si="7"/>
        <v>0</v>
      </c>
      <c r="F218" s="99">
        <f t="shared" si="5"/>
        <v>-106200000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351</v>
      </c>
      <c r="E219" s="99">
        <f t="shared" si="7"/>
        <v>0</v>
      </c>
      <c r="F219" s="99">
        <f t="shared" si="5"/>
        <v>-17869410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351</v>
      </c>
      <c r="E220" s="99">
        <f t="shared" si="7"/>
        <v>0</v>
      </c>
      <c r="F220" s="99">
        <f t="shared" si="5"/>
        <v>-193225500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349</v>
      </c>
      <c r="E221" s="99">
        <f t="shared" si="7"/>
        <v>1</v>
      </c>
      <c r="F221" s="99">
        <f t="shared" si="5"/>
        <v>556800000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348</v>
      </c>
      <c r="E222" s="99">
        <f t="shared" si="7"/>
        <v>0</v>
      </c>
      <c r="F222" s="99">
        <f t="shared" si="5"/>
        <v>-522243600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343</v>
      </c>
      <c r="E223" s="99">
        <f t="shared" si="7"/>
        <v>1</v>
      </c>
      <c r="F223" s="99">
        <f t="shared" si="5"/>
        <v>2947698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340</v>
      </c>
      <c r="E224" s="99">
        <f t="shared" si="7"/>
        <v>1</v>
      </c>
      <c r="F224" s="99">
        <f t="shared" si="5"/>
        <v>1017000000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338</v>
      </c>
      <c r="E225" s="99">
        <f t="shared" si="7"/>
        <v>0</v>
      </c>
      <c r="F225" s="99">
        <f t="shared" si="5"/>
        <v>-1014304200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337</v>
      </c>
      <c r="E226" s="99">
        <f t="shared" si="7"/>
        <v>1</v>
      </c>
      <c r="F226" s="99">
        <f t="shared" si="5"/>
        <v>1008000000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337</v>
      </c>
      <c r="E227" s="99">
        <f t="shared" si="7"/>
        <v>0</v>
      </c>
      <c r="F227" s="99">
        <f t="shared" si="5"/>
        <v>-59109800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336</v>
      </c>
      <c r="E228" s="99">
        <f t="shared" si="7"/>
        <v>0</v>
      </c>
      <c r="F228" s="99">
        <f t="shared" si="5"/>
        <v>-403368000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336</v>
      </c>
      <c r="E229" s="99">
        <f t="shared" si="7"/>
        <v>0</v>
      </c>
      <c r="F229" s="99">
        <f t="shared" si="5"/>
        <v>-6906480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335</v>
      </c>
      <c r="E230" s="99">
        <f t="shared" si="7"/>
        <v>0</v>
      </c>
      <c r="F230" s="99">
        <f t="shared" si="5"/>
        <v>-339846110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334</v>
      </c>
      <c r="E231" s="99">
        <f t="shared" si="7"/>
        <v>0</v>
      </c>
      <c r="F231" s="99">
        <f t="shared" si="5"/>
        <v>-8091150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333</v>
      </c>
      <c r="E232" s="99">
        <f t="shared" si="7"/>
        <v>1</v>
      </c>
      <c r="F232" s="99">
        <f t="shared" si="5"/>
        <v>365200000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333</v>
      </c>
      <c r="E233" s="99">
        <f t="shared" si="7"/>
        <v>0</v>
      </c>
      <c r="F233" s="99">
        <f t="shared" si="5"/>
        <v>-49250700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329</v>
      </c>
      <c r="E234" s="99">
        <f t="shared" si="7"/>
        <v>0</v>
      </c>
      <c r="F234" s="99">
        <f t="shared" si="5"/>
        <v>-22360485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324</v>
      </c>
      <c r="E235" s="99">
        <f t="shared" si="7"/>
        <v>0</v>
      </c>
      <c r="F235" s="99">
        <f t="shared" si="5"/>
        <v>-37173816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323</v>
      </c>
      <c r="E236" s="99">
        <f t="shared" si="7"/>
        <v>0</v>
      </c>
      <c r="F236" s="99">
        <f t="shared" si="5"/>
        <v>-116280000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323</v>
      </c>
      <c r="E237" s="99">
        <f t="shared" si="7"/>
        <v>0</v>
      </c>
      <c r="F237" s="99">
        <f t="shared" si="5"/>
        <v>-68153000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323</v>
      </c>
      <c r="E238" s="99">
        <f t="shared" si="7"/>
        <v>0</v>
      </c>
      <c r="F238" s="99">
        <f t="shared" si="5"/>
        <v>-61273100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322</v>
      </c>
      <c r="E239" s="99">
        <f t="shared" si="7"/>
        <v>0</v>
      </c>
      <c r="F239" s="99">
        <f t="shared" si="5"/>
        <v>-128961000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322</v>
      </c>
      <c r="E240" s="99">
        <f t="shared" si="7"/>
        <v>1</v>
      </c>
      <c r="F240" s="99">
        <f t="shared" si="5"/>
        <v>128400000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319</v>
      </c>
      <c r="E241" s="99">
        <f t="shared" si="7"/>
        <v>0</v>
      </c>
      <c r="F241" s="99">
        <f t="shared" si="5"/>
        <v>-102359125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312</v>
      </c>
      <c r="E242" s="99">
        <f t="shared" si="7"/>
        <v>1</v>
      </c>
      <c r="F242" s="99">
        <f t="shared" si="5"/>
        <v>1889014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310</v>
      </c>
      <c r="E243" s="99">
        <f t="shared" si="7"/>
        <v>0</v>
      </c>
      <c r="F243" s="99">
        <f t="shared" si="5"/>
        <v>-114855000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295</v>
      </c>
      <c r="E244" s="99">
        <f t="shared" si="7"/>
        <v>1</v>
      </c>
      <c r="F244" s="99">
        <f t="shared" si="5"/>
        <v>882000000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293</v>
      </c>
      <c r="E245" s="99">
        <f t="shared" si="7"/>
        <v>0</v>
      </c>
      <c r="F245" s="99">
        <f t="shared" si="5"/>
        <v>-23440000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292</v>
      </c>
      <c r="E246" s="99">
        <f t="shared" si="7"/>
        <v>0</v>
      </c>
      <c r="F246" s="99">
        <f t="shared" si="5"/>
        <v>-788400000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292</v>
      </c>
      <c r="E247" s="99">
        <f t="shared" si="7"/>
        <v>0</v>
      </c>
      <c r="F247" s="99">
        <f t="shared" si="5"/>
        <v>-8760000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290</v>
      </c>
      <c r="E248" s="99">
        <f t="shared" si="7"/>
        <v>0</v>
      </c>
      <c r="F248" s="99">
        <f t="shared" si="5"/>
        <v>-34800000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289</v>
      </c>
      <c r="E249" s="99">
        <f>IF(B250&gt;0,1,0)</f>
        <v>1</v>
      </c>
      <c r="F249" s="99">
        <f>B250*(D249-E249)</f>
        <v>230400000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288</v>
      </c>
      <c r="E250" s="99">
        <f>IF(B251&gt;0,1,0)</f>
        <v>0</v>
      </c>
      <c r="F250" s="99">
        <f>B251*(D250-E250)</f>
        <v>-5601600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287</v>
      </c>
      <c r="E251" s="99">
        <f>IF(B252&gt;0,1,0)</f>
        <v>0</v>
      </c>
      <c r="F251" s="99">
        <f>B252*(D251-E251)</f>
        <v>-143500000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287</v>
      </c>
      <c r="E252" s="99">
        <f>IF(B253&gt;0,1,0)</f>
        <v>1</v>
      </c>
      <c r="F252" s="99">
        <f>B253*(D252-E252)</f>
        <v>143000000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287</v>
      </c>
      <c r="E253" s="99">
        <f t="shared" ref="E253:E275" si="9">IF(B254&gt;0,1,0)</f>
        <v>0</v>
      </c>
      <c r="F253" s="99">
        <f>B254*(D253-E253)</f>
        <v>-130473931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287</v>
      </c>
      <c r="E254" s="99">
        <f t="shared" si="9"/>
        <v>0</v>
      </c>
      <c r="F254" s="99">
        <f t="shared" ref="F254:F275" si="10">B255*(D254-E254)</f>
        <v>-5625200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286</v>
      </c>
      <c r="E255" s="99">
        <f t="shared" si="9"/>
        <v>0</v>
      </c>
      <c r="F255" s="99">
        <f t="shared" si="10"/>
        <v>-7212920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286</v>
      </c>
      <c r="E256" s="99">
        <f t="shared" si="9"/>
        <v>0</v>
      </c>
      <c r="F256" s="99">
        <f t="shared" si="10"/>
        <v>-42757000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285</v>
      </c>
      <c r="E257" s="99">
        <f t="shared" si="9"/>
        <v>0</v>
      </c>
      <c r="F257" s="99">
        <f t="shared" si="10"/>
        <v>-44175000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285</v>
      </c>
      <c r="E258" s="99">
        <f t="shared" si="9"/>
        <v>0</v>
      </c>
      <c r="F258" s="99">
        <f t="shared" si="10"/>
        <v>-1425000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203</v>
      </c>
      <c r="E259" s="99">
        <f t="shared" si="9"/>
        <v>1</v>
      </c>
      <c r="F259" s="99">
        <f t="shared" si="10"/>
        <v>20200000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121</v>
      </c>
      <c r="E260" s="99">
        <f t="shared" si="9"/>
        <v>1</v>
      </c>
      <c r="F260" s="99">
        <f t="shared" si="10"/>
        <v>360000000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120</v>
      </c>
      <c r="E261" s="99">
        <f t="shared" si="9"/>
        <v>0</v>
      </c>
      <c r="F261" s="99">
        <f t="shared" si="10"/>
        <v>-7980000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117</v>
      </c>
      <c r="E262" s="99">
        <f t="shared" si="9"/>
        <v>0</v>
      </c>
      <c r="F262" s="99">
        <f t="shared" si="10"/>
        <v>-4431726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115</v>
      </c>
      <c r="E263" s="99">
        <f t="shared" si="9"/>
        <v>0</v>
      </c>
      <c r="F263" s="99">
        <f t="shared" si="10"/>
        <v>-4772500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113</v>
      </c>
      <c r="E264" s="99">
        <f t="shared" si="9"/>
        <v>0</v>
      </c>
      <c r="F264" s="99">
        <f t="shared" si="10"/>
        <v>-21470000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110</v>
      </c>
      <c r="E265" s="99">
        <f t="shared" si="9"/>
        <v>0</v>
      </c>
      <c r="F265" s="99">
        <f t="shared" si="10"/>
        <v>-6050000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109</v>
      </c>
      <c r="E266" s="99">
        <f t="shared" si="9"/>
        <v>0</v>
      </c>
      <c r="F266" s="99">
        <f t="shared" si="10"/>
        <v>-3204055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108</v>
      </c>
      <c r="E267" s="99">
        <f t="shared" si="9"/>
        <v>0</v>
      </c>
      <c r="F267" s="99">
        <f t="shared" si="10"/>
        <v>-5400000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106</v>
      </c>
      <c r="E268" s="99">
        <f t="shared" si="9"/>
        <v>0</v>
      </c>
      <c r="F268" s="99">
        <f t="shared" si="10"/>
        <v>-8480000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105</v>
      </c>
      <c r="E269" s="99">
        <f t="shared" si="9"/>
        <v>0</v>
      </c>
      <c r="F269" s="99">
        <f t="shared" si="10"/>
        <v>-10385445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104</v>
      </c>
      <c r="E270" s="99">
        <f t="shared" si="9"/>
        <v>0</v>
      </c>
      <c r="F270" s="99">
        <f t="shared" si="10"/>
        <v>-975520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101</v>
      </c>
      <c r="E271" s="99">
        <f t="shared" si="9"/>
        <v>0</v>
      </c>
      <c r="F271" s="99">
        <f t="shared" si="10"/>
        <v>-242400000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101</v>
      </c>
      <c r="E272" s="99">
        <f t="shared" si="9"/>
        <v>1</v>
      </c>
      <c r="F272" s="99">
        <f t="shared" si="10"/>
        <v>1500000</v>
      </c>
      <c r="G272" s="99"/>
    </row>
    <row r="273" spans="1:11">
      <c r="A273" s="99" t="s">
        <v>4638</v>
      </c>
      <c r="B273" s="113">
        <v>15000</v>
      </c>
      <c r="C273" s="99">
        <v>93</v>
      </c>
      <c r="D273" s="99">
        <f t="shared" si="8"/>
        <v>98</v>
      </c>
      <c r="E273" s="99">
        <f t="shared" si="9"/>
        <v>1</v>
      </c>
      <c r="F273" s="99">
        <f t="shared" si="10"/>
        <v>339500000</v>
      </c>
      <c r="G273" s="99"/>
    </row>
    <row r="274" spans="1:11">
      <c r="A274" s="99" t="s">
        <v>5032</v>
      </c>
      <c r="B274" s="113">
        <v>3500000</v>
      </c>
      <c r="C274" s="99">
        <v>0</v>
      </c>
      <c r="D274" s="99">
        <f t="shared" si="8"/>
        <v>5</v>
      </c>
      <c r="E274" s="99">
        <f t="shared" si="9"/>
        <v>0</v>
      </c>
      <c r="F274" s="99">
        <f t="shared" si="10"/>
        <v>-1120060</v>
      </c>
      <c r="G274" s="99"/>
    </row>
    <row r="275" spans="1:11">
      <c r="A275" s="99" t="s">
        <v>5032</v>
      </c>
      <c r="B275" s="113">
        <v>-224012</v>
      </c>
      <c r="C275" s="99">
        <v>2</v>
      </c>
      <c r="D275" s="99">
        <f t="shared" si="8"/>
        <v>5</v>
      </c>
      <c r="E275" s="99">
        <f t="shared" si="9"/>
        <v>0</v>
      </c>
      <c r="F275" s="99">
        <f t="shared" si="10"/>
        <v>-523355</v>
      </c>
      <c r="G275" s="99"/>
    </row>
    <row r="276" spans="1:11">
      <c r="A276" s="99" t="s">
        <v>5055</v>
      </c>
      <c r="B276" s="113">
        <v>-104671</v>
      </c>
      <c r="C276" s="99">
        <v>1</v>
      </c>
      <c r="D276" s="99">
        <f t="shared" ref="D276:D287" si="11">D277+C276</f>
        <v>3</v>
      </c>
      <c r="E276" s="99">
        <f t="shared" ref="E276:E287" si="12">IF(B277&gt;0,1,0)</f>
        <v>0</v>
      </c>
      <c r="F276" s="99">
        <f t="shared" ref="F276:F287" si="13">B277*(D276-E276)</f>
        <v>-816000</v>
      </c>
      <c r="G276" s="99"/>
    </row>
    <row r="277" spans="1:11">
      <c r="A277" s="99" t="s">
        <v>5057</v>
      </c>
      <c r="B277" s="113">
        <v>-272000</v>
      </c>
      <c r="C277" s="99">
        <v>1</v>
      </c>
      <c r="D277" s="99">
        <f t="shared" si="11"/>
        <v>2</v>
      </c>
      <c r="E277" s="99">
        <f t="shared" si="12"/>
        <v>0</v>
      </c>
      <c r="F277" s="99">
        <f t="shared" si="13"/>
        <v>-5130156</v>
      </c>
      <c r="G277" s="99"/>
    </row>
    <row r="278" spans="1:11">
      <c r="A278" s="99" t="s">
        <v>5060</v>
      </c>
      <c r="B278" s="113">
        <v>-2565078</v>
      </c>
      <c r="C278" s="99">
        <v>1</v>
      </c>
      <c r="D278" s="99">
        <f t="shared" si="11"/>
        <v>1</v>
      </c>
      <c r="E278" s="99">
        <f t="shared" si="12"/>
        <v>0</v>
      </c>
      <c r="F278" s="99">
        <f t="shared" si="13"/>
        <v>0</v>
      </c>
      <c r="G278" s="99"/>
    </row>
    <row r="279" spans="1:11">
      <c r="A279" s="99"/>
      <c r="B279" s="113"/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/>
      <c r="B280" s="113"/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/>
      <c r="B281" s="113"/>
      <c r="C281" s="99"/>
      <c r="D281" s="99">
        <f t="shared" si="11"/>
        <v>0</v>
      </c>
      <c r="E281" s="99">
        <f t="shared" si="12"/>
        <v>0</v>
      </c>
      <c r="F281" s="99">
        <f t="shared" si="13"/>
        <v>0</v>
      </c>
      <c r="G281" s="99"/>
      <c r="J281" t="s">
        <v>25</v>
      </c>
    </row>
    <row r="282" spans="1:11">
      <c r="A282" s="99"/>
      <c r="B282" s="113"/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/>
      <c r="B283" s="113"/>
      <c r="C283" s="99"/>
      <c r="D283" s="99">
        <f t="shared" si="11"/>
        <v>0</v>
      </c>
      <c r="E283" s="99">
        <f t="shared" si="12"/>
        <v>0</v>
      </c>
      <c r="F283" s="99">
        <f t="shared" si="13"/>
        <v>0</v>
      </c>
      <c r="G283" s="99"/>
    </row>
    <row r="284" spans="1:11">
      <c r="A284" s="99"/>
      <c r="B284" s="113"/>
      <c r="C284" s="99"/>
      <c r="D284" s="99">
        <f t="shared" si="11"/>
        <v>0</v>
      </c>
      <c r="E284" s="99">
        <f t="shared" si="12"/>
        <v>0</v>
      </c>
      <c r="F284" s="99">
        <f t="shared" si="13"/>
        <v>0</v>
      </c>
      <c r="G284" s="99"/>
    </row>
    <row r="285" spans="1:11">
      <c r="A285" s="99"/>
      <c r="B285" s="113"/>
      <c r="C285" s="99"/>
      <c r="D285" s="99">
        <f t="shared" si="11"/>
        <v>0</v>
      </c>
      <c r="E285" s="99">
        <f t="shared" si="12"/>
        <v>0</v>
      </c>
      <c r="F285" s="99">
        <f t="shared" si="13"/>
        <v>0</v>
      </c>
      <c r="G285" s="99"/>
      <c r="K285" t="s">
        <v>25</v>
      </c>
    </row>
    <row r="286" spans="1:11">
      <c r="A286" s="99"/>
      <c r="B286" s="113"/>
      <c r="C286" s="99"/>
      <c r="D286" s="99">
        <f t="shared" si="11"/>
        <v>0</v>
      </c>
      <c r="E286" s="99">
        <f t="shared" si="12"/>
        <v>0</v>
      </c>
      <c r="F286" s="99">
        <f t="shared" si="13"/>
        <v>0</v>
      </c>
      <c r="G286" s="99"/>
    </row>
    <row r="287" spans="1:11">
      <c r="A287" s="11"/>
      <c r="B287" s="3">
        <v>0</v>
      </c>
      <c r="C287" s="11">
        <v>0</v>
      </c>
      <c r="D287" s="99">
        <f t="shared" si="11"/>
        <v>0</v>
      </c>
      <c r="E287" s="99">
        <f t="shared" si="12"/>
        <v>0</v>
      </c>
      <c r="F287" s="99">
        <f t="shared" si="13"/>
        <v>0</v>
      </c>
      <c r="G287" s="11"/>
    </row>
    <row r="288" spans="1:11">
      <c r="A288" s="11"/>
      <c r="B288" s="3"/>
      <c r="C288" s="11"/>
      <c r="D288" s="99"/>
      <c r="E288" s="99"/>
      <c r="F288" s="99"/>
      <c r="G288" s="11"/>
    </row>
    <row r="289" spans="1:7">
      <c r="A289" s="11"/>
      <c r="B289" s="29">
        <f>SUM(B2:B287)</f>
        <v>390976</v>
      </c>
      <c r="C289" s="11"/>
      <c r="D289" s="11"/>
      <c r="E289" s="11"/>
      <c r="F289" s="29">
        <f>SUM(F2:F287)</f>
        <v>19234486096</v>
      </c>
      <c r="G289" s="11"/>
    </row>
    <row r="290" spans="1:7">
      <c r="A290" s="11"/>
      <c r="B290" s="11" t="s">
        <v>6</v>
      </c>
      <c r="C290" s="11"/>
      <c r="D290" s="11"/>
      <c r="E290" s="11"/>
      <c r="F290" s="11" t="s">
        <v>284</v>
      </c>
      <c r="G290" s="11"/>
    </row>
    <row r="291" spans="1:7">
      <c r="A291" s="11"/>
      <c r="B291" s="11"/>
      <c r="C291" s="11"/>
      <c r="D291" s="11"/>
      <c r="E291" s="11"/>
      <c r="F291" s="11"/>
      <c r="G291" s="11"/>
    </row>
    <row r="292" spans="1:7">
      <c r="A292" s="11"/>
      <c r="B292" s="11"/>
      <c r="C292" s="11"/>
      <c r="D292" s="11"/>
      <c r="E292" s="11"/>
      <c r="F292" s="3">
        <f>F289/D2</f>
        <v>18111568.828625236</v>
      </c>
      <c r="G292" s="11"/>
    </row>
    <row r="293" spans="1:7">
      <c r="A293" s="11"/>
      <c r="B293" s="11"/>
      <c r="C293" s="11"/>
      <c r="D293" s="11"/>
      <c r="E293" s="11"/>
      <c r="F293" s="11" t="s">
        <v>286</v>
      </c>
      <c r="G293" s="11"/>
    </row>
    <row r="298" spans="1:7">
      <c r="D298" t="s">
        <v>25</v>
      </c>
    </row>
    <row r="299" spans="1:7">
      <c r="B299" s="7"/>
    </row>
    <row r="301" spans="1:7" ht="75">
      <c r="E301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M15" sqref="M15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249" t="s">
        <v>5007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4937</v>
      </c>
      <c r="B193" s="38">
        <v>-25000</v>
      </c>
      <c r="C193" s="11" t="s">
        <v>4947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9"/>
  <sheetViews>
    <sheetView topLeftCell="O199" zoomScaleNormal="100" workbookViewId="0">
      <selection activeCell="S209" sqref="S20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4898</v>
      </c>
      <c r="AT11" s="73" t="s">
        <v>4899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4969</v>
      </c>
      <c r="AT12" s="73" t="s">
        <v>4970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ایلیا'!B289</f>
        <v>390976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4971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1806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S93</f>
        <v>195</v>
      </c>
      <c r="T20" s="168" t="s">
        <v>4309</v>
      </c>
      <c r="U20" s="168">
        <v>192.1</v>
      </c>
      <c r="V20" s="168">
        <f t="shared" ref="V20:V57" si="6">U20*(1+$N$93+$Q$15*S20/36500)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-N38</f>
        <v>542926905.98434103</v>
      </c>
      <c r="M21" s="168" t="s">
        <v>4301</v>
      </c>
      <c r="N21" s="113">
        <f t="shared" ref="N21:N27" si="9">O21*P21</f>
        <v>17878850.100000001</v>
      </c>
      <c r="O21" s="99">
        <v>82429</v>
      </c>
      <c r="P21" s="186">
        <f>P61</f>
        <v>216.9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-3186124</v>
      </c>
      <c r="M22" s="168" t="s">
        <v>4391</v>
      </c>
      <c r="N22" s="113">
        <f t="shared" si="9"/>
        <v>104311825.60000001</v>
      </c>
      <c r="O22" s="99">
        <v>25637</v>
      </c>
      <c r="P22" s="186">
        <f>P48</f>
        <v>4068.8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1232239.2</v>
      </c>
      <c r="O23" s="99">
        <v>8808</v>
      </c>
      <c r="P23" s="186">
        <f>P50</f>
        <v>139.9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L73</f>
        <v>497296530.98434103</v>
      </c>
      <c r="G24" s="95">
        <f t="shared" si="0"/>
        <v>-216990185.60240239</v>
      </c>
      <c r="H24" s="11"/>
      <c r="I24" s="96"/>
      <c r="J24" s="96"/>
      <c r="K24" s="215"/>
      <c r="L24" s="117"/>
      <c r="M24" s="215" t="s">
        <v>5062</v>
      </c>
      <c r="N24" s="113">
        <f t="shared" si="9"/>
        <v>1102354</v>
      </c>
      <c r="O24" s="99">
        <v>4895</v>
      </c>
      <c r="P24" s="186">
        <f>P51</f>
        <v>225.2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4410</v>
      </c>
      <c r="N25" s="113">
        <f t="shared" si="9"/>
        <v>106809022.39999999</v>
      </c>
      <c r="O25" s="99">
        <v>154706</v>
      </c>
      <c r="P25" s="186">
        <f>P54</f>
        <v>690.4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5"/>
      <c r="L26" s="117"/>
      <c r="M26" s="215" t="s">
        <v>4538</v>
      </c>
      <c r="N26" s="113">
        <f t="shared" si="9"/>
        <v>97930587.200000003</v>
      </c>
      <c r="O26" s="99">
        <v>20491</v>
      </c>
      <c r="P26" s="186">
        <f>P55</f>
        <v>4779.2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 t="s">
        <v>456</v>
      </c>
      <c r="L27" s="117">
        <v>500000</v>
      </c>
      <c r="M27" s="168" t="s">
        <v>4395</v>
      </c>
      <c r="N27" s="113">
        <f t="shared" si="9"/>
        <v>11582573.6</v>
      </c>
      <c r="O27" s="99">
        <v>1828</v>
      </c>
      <c r="P27" s="99">
        <f>P53</f>
        <v>6336.2</v>
      </c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68"/>
      <c r="N28" s="113"/>
      <c r="O28" s="69" t="s">
        <v>25</v>
      </c>
      <c r="P28" s="99"/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4460</v>
      </c>
      <c r="N29" s="113">
        <v>1739</v>
      </c>
      <c r="O29" s="69" t="s">
        <v>25</v>
      </c>
      <c r="P29" s="99" t="s">
        <v>25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4395</v>
      </c>
      <c r="N30" s="113">
        <f t="shared" ref="N30:N35" si="13">O30*P30</f>
        <v>6634001.3999999994</v>
      </c>
      <c r="O30" s="69">
        <v>1047</v>
      </c>
      <c r="P30" s="99">
        <f>P53</f>
        <v>6336.2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4391</v>
      </c>
      <c r="N31" s="113">
        <f t="shared" si="13"/>
        <v>5106344</v>
      </c>
      <c r="O31" s="69">
        <v>1255</v>
      </c>
      <c r="P31" s="99">
        <f>P48</f>
        <v>4068.8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5062</v>
      </c>
      <c r="N32" s="113">
        <f t="shared" si="13"/>
        <v>1102354</v>
      </c>
      <c r="O32" s="69">
        <v>4895</v>
      </c>
      <c r="P32" s="99">
        <f>P51</f>
        <v>225.2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5"/>
      <c r="L33" s="117"/>
      <c r="M33" s="190" t="s">
        <v>4410</v>
      </c>
      <c r="N33" s="113">
        <f t="shared" si="13"/>
        <v>664855.19999999995</v>
      </c>
      <c r="O33" s="69">
        <v>963</v>
      </c>
      <c r="P33" s="99">
        <f>P54</f>
        <v>690.4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5"/>
      <c r="L34" s="117"/>
      <c r="M34" s="190" t="s">
        <v>4538</v>
      </c>
      <c r="N34" s="113">
        <f t="shared" si="13"/>
        <v>692984</v>
      </c>
      <c r="O34" s="69">
        <v>145</v>
      </c>
      <c r="P34" s="99">
        <f>P55</f>
        <v>4779.2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7" si="14">V34*(1+$W$19/100)</f>
        <v>3306.0786608219182</v>
      </c>
      <c r="X34" s="32">
        <f t="shared" ref="X34:X57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90" t="s">
        <v>4439</v>
      </c>
      <c r="N35" s="113">
        <f t="shared" si="13"/>
        <v>27259775.100000001</v>
      </c>
      <c r="O35" s="69">
        <v>125679</v>
      </c>
      <c r="P35" s="99">
        <f>P61</f>
        <v>216.9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25</v>
      </c>
      <c r="L36" s="117"/>
      <c r="M36" s="168"/>
      <c r="N36" s="113"/>
      <c r="P3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25</v>
      </c>
      <c r="L37" s="117"/>
      <c r="M37" s="168" t="s">
        <v>756</v>
      </c>
      <c r="N37" s="113">
        <v>3000000</v>
      </c>
      <c r="O37" t="s">
        <v>25</v>
      </c>
      <c r="P37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918</v>
      </c>
      <c r="L38" s="117">
        <v>4800000</v>
      </c>
      <c r="M38" s="168" t="s">
        <v>4149</v>
      </c>
      <c r="N38" s="113">
        <f>-S184</f>
        <v>-542926905.98434103</v>
      </c>
      <c r="O38" s="96" t="s">
        <v>25</v>
      </c>
      <c r="P38" s="96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753</v>
      </c>
      <c r="N39" s="113">
        <v>500000</v>
      </c>
      <c r="O39" s="96" t="s">
        <v>25</v>
      </c>
      <c r="P39" s="122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1086</v>
      </c>
      <c r="L40" s="117">
        <f>'خرید و فروش سکه فیزیکی'!M48*10*P62</f>
        <v>0</v>
      </c>
      <c r="M40" s="168" t="s">
        <v>760</v>
      </c>
      <c r="N40" s="113">
        <v>1200000</v>
      </c>
      <c r="O40" t="s">
        <v>25</v>
      </c>
      <c r="P40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4829</v>
      </c>
      <c r="L41" s="117">
        <v>-47500000</v>
      </c>
      <c r="M41" s="73"/>
      <c r="N41" s="113"/>
      <c r="O41" s="96" t="s">
        <v>25</v>
      </c>
      <c r="P41" s="96" t="s">
        <v>25</v>
      </c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1086</v>
      </c>
      <c r="N42" s="113">
        <f>('خرید و فروش سکه فیزیکی'!M47+3)*10*P62</f>
        <v>15150000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 ht="16.5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/>
      <c r="L43" s="117"/>
      <c r="M43" s="168" t="s">
        <v>4828</v>
      </c>
      <c r="N43" s="113">
        <v>-18000000</v>
      </c>
      <c r="O43" s="247" t="s">
        <v>25</v>
      </c>
      <c r="P43" s="114"/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/>
      <c r="L44" s="117"/>
      <c r="M44" s="168" t="s">
        <v>4830</v>
      </c>
      <c r="N44" s="113">
        <v>-47000000</v>
      </c>
      <c r="O44" s="96"/>
      <c r="P44" s="96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168"/>
      <c r="N45" s="113"/>
      <c r="O45" s="96"/>
      <c r="P45" s="96" t="s">
        <v>25</v>
      </c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 t="s">
        <v>5058</v>
      </c>
      <c r="L46" s="117">
        <v>-1700000</v>
      </c>
      <c r="M46" s="168" t="s">
        <v>4459</v>
      </c>
      <c r="N46" s="113">
        <v>1472</v>
      </c>
      <c r="P46" t="s">
        <v>25</v>
      </c>
      <c r="Q46" s="169">
        <v>1018599</v>
      </c>
      <c r="R46" s="215" t="s">
        <v>4905</v>
      </c>
      <c r="S46" s="198">
        <f>S45-19</f>
        <v>21</v>
      </c>
      <c r="T46" s="215" t="s">
        <v>4907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56"/>
      <c r="L47" s="117"/>
      <c r="M47" s="168"/>
      <c r="N47" s="113"/>
      <c r="O47" s="99"/>
      <c r="P47" s="99"/>
      <c r="Q47" s="169">
        <v>1001132</v>
      </c>
      <c r="R47" s="215" t="s">
        <v>4905</v>
      </c>
      <c r="S47" s="198">
        <f>S46</f>
        <v>21</v>
      </c>
      <c r="T47" s="215" t="s">
        <v>4908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56"/>
      <c r="L48" s="117"/>
      <c r="M48" s="206" t="s">
        <v>4391</v>
      </c>
      <c r="N48" s="113">
        <f>O48*P48</f>
        <v>130657305.60000001</v>
      </c>
      <c r="O48" s="99">
        <v>32112</v>
      </c>
      <c r="P48" s="99">
        <v>4068.8</v>
      </c>
      <c r="Q48" s="169">
        <v>5809833</v>
      </c>
      <c r="R48" s="215" t="s">
        <v>4924</v>
      </c>
      <c r="S48" s="198">
        <f>S47-2</f>
        <v>19</v>
      </c>
      <c r="T48" s="215" t="s">
        <v>4928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4583</v>
      </c>
      <c r="N49" s="117">
        <f t="shared" ref="N49:N62" si="16">O49*P49</f>
        <v>959200</v>
      </c>
      <c r="O49" s="69">
        <v>2000</v>
      </c>
      <c r="P49" s="69">
        <v>479.6</v>
      </c>
      <c r="Q49" s="169">
        <v>22263826</v>
      </c>
      <c r="R49" s="215" t="s">
        <v>4924</v>
      </c>
      <c r="S49" s="198">
        <f>S48</f>
        <v>19</v>
      </c>
      <c r="T49" s="215" t="s">
        <v>4929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21" t="s">
        <v>4539</v>
      </c>
      <c r="N50" s="117">
        <f t="shared" si="16"/>
        <v>124231.20000000001</v>
      </c>
      <c r="O50" s="69">
        <v>888</v>
      </c>
      <c r="P50" s="69">
        <v>139.9</v>
      </c>
      <c r="Q50" s="169">
        <v>112288</v>
      </c>
      <c r="R50" s="215" t="s">
        <v>981</v>
      </c>
      <c r="S50" s="198">
        <f>S49-1</f>
        <v>18</v>
      </c>
      <c r="T50" s="215" t="s">
        <v>4932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5062</v>
      </c>
      <c r="N51" s="117">
        <f t="shared" si="16"/>
        <v>1102354</v>
      </c>
      <c r="O51" s="69">
        <v>4895</v>
      </c>
      <c r="P51" s="69">
        <v>225.2</v>
      </c>
      <c r="Q51" s="169">
        <v>931614</v>
      </c>
      <c r="R51" s="215" t="s">
        <v>4938</v>
      </c>
      <c r="S51" s="198">
        <f>S50-8</f>
        <v>10</v>
      </c>
      <c r="T51" s="215" t="s">
        <v>4940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21" t="s">
        <v>4569</v>
      </c>
      <c r="N52" s="117">
        <f t="shared" si="16"/>
        <v>67925</v>
      </c>
      <c r="O52" s="69">
        <v>50</v>
      </c>
      <c r="P52" s="69">
        <v>1358.5</v>
      </c>
      <c r="Q52" s="169">
        <v>533965</v>
      </c>
      <c r="R52" s="215" t="s">
        <v>4983</v>
      </c>
      <c r="S52" s="198">
        <f>S51-12</f>
        <v>-2</v>
      </c>
      <c r="T52" s="215" t="s">
        <v>4984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19" t="s">
        <v>4395</v>
      </c>
      <c r="N53" s="113">
        <f t="shared" si="16"/>
        <v>210602615.59999999</v>
      </c>
      <c r="O53" s="69">
        <v>33238</v>
      </c>
      <c r="P53" s="69">
        <v>6336.2</v>
      </c>
      <c r="Q53" s="169">
        <v>164707</v>
      </c>
      <c r="R53" s="215" t="s">
        <v>4998</v>
      </c>
      <c r="S53" s="198">
        <f>S52-6</f>
        <v>-8</v>
      </c>
      <c r="T53" s="215" t="s">
        <v>4999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19" t="s">
        <v>4410</v>
      </c>
      <c r="N54" s="117">
        <f t="shared" si="16"/>
        <v>73758884</v>
      </c>
      <c r="O54" s="69">
        <v>106835</v>
      </c>
      <c r="P54" s="69">
        <v>690.4</v>
      </c>
      <c r="Q54" s="169">
        <v>1081896</v>
      </c>
      <c r="R54" s="215" t="s">
        <v>5060</v>
      </c>
      <c r="S54" s="198">
        <f>S53-15</f>
        <v>-23</v>
      </c>
      <c r="T54" s="215" t="s">
        <v>5063</v>
      </c>
      <c r="U54" s="215">
        <v>220</v>
      </c>
      <c r="V54" s="215">
        <f t="shared" si="6"/>
        <v>218.58235616438358</v>
      </c>
      <c r="W54" s="32">
        <f t="shared" si="14"/>
        <v>222.95400328767127</v>
      </c>
      <c r="X54" s="32">
        <f t="shared" si="15"/>
        <v>227.32565041095893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19" t="s">
        <v>4538</v>
      </c>
      <c r="N55" s="117">
        <f t="shared" si="16"/>
        <v>39093856</v>
      </c>
      <c r="O55" s="69">
        <v>8180</v>
      </c>
      <c r="P55" s="69">
        <v>4779.2</v>
      </c>
      <c r="Q55" s="169">
        <v>466781</v>
      </c>
      <c r="R55" s="215" t="s">
        <v>5064</v>
      </c>
      <c r="S55" s="198">
        <f>S54-1</f>
        <v>-24</v>
      </c>
      <c r="T55" s="215" t="s">
        <v>5065</v>
      </c>
      <c r="U55" s="215">
        <v>4005.4</v>
      </c>
      <c r="V55" s="215">
        <f t="shared" si="6"/>
        <v>3976.5172252054799</v>
      </c>
      <c r="W55" s="32">
        <f t="shared" si="14"/>
        <v>4056.0475697095894</v>
      </c>
      <c r="X55" s="32">
        <f t="shared" si="15"/>
        <v>4135.5779142136989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 t="s">
        <v>25</v>
      </c>
      <c r="L56" s="117"/>
      <c r="M56" s="21" t="s">
        <v>4537</v>
      </c>
      <c r="N56" s="117">
        <f t="shared" si="16"/>
        <v>16409220.300000001</v>
      </c>
      <c r="O56" s="69">
        <v>2913</v>
      </c>
      <c r="P56" s="69">
        <v>5633.1</v>
      </c>
      <c r="Q56" s="169"/>
      <c r="R56" s="215"/>
      <c r="S56" s="198"/>
      <c r="T56" s="215"/>
      <c r="U56" s="215"/>
      <c r="V56" s="215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 t="s">
        <v>25</v>
      </c>
      <c r="L57" s="117"/>
      <c r="M57" s="21" t="s">
        <v>4614</v>
      </c>
      <c r="N57" s="117">
        <f t="shared" si="16"/>
        <v>4975050</v>
      </c>
      <c r="O57" s="69">
        <v>5100</v>
      </c>
      <c r="P57" s="69">
        <v>975.5</v>
      </c>
      <c r="Q57" s="169"/>
      <c r="R57" s="168"/>
      <c r="S57" s="168"/>
      <c r="T57" s="168"/>
      <c r="U57" s="168"/>
      <c r="V57" s="215">
        <f t="shared" si="6"/>
        <v>0</v>
      </c>
      <c r="W57" s="32">
        <f t="shared" si="14"/>
        <v>0</v>
      </c>
      <c r="X57" s="32">
        <f t="shared" si="15"/>
        <v>0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 t="s">
        <v>25</v>
      </c>
      <c r="L58" s="117"/>
      <c r="M58" s="21" t="s">
        <v>4296</v>
      </c>
      <c r="N58" s="117">
        <f>O58*P58</f>
        <v>2579094.2000000002</v>
      </c>
      <c r="O58" s="69">
        <v>6997</v>
      </c>
      <c r="P58" s="69">
        <v>368.6</v>
      </c>
      <c r="Q58" s="169">
        <f>SUM(N21:N27)-SUM(Q20:Q57)</f>
        <v>62951658.100000024</v>
      </c>
      <c r="R58" s="168"/>
      <c r="S58" s="168" t="s">
        <v>25</v>
      </c>
      <c r="T58" s="168"/>
      <c r="U58" s="168"/>
      <c r="V58" s="168"/>
      <c r="W58" s="32"/>
      <c r="X58" s="32"/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19" t="s">
        <v>4587</v>
      </c>
      <c r="N59" s="113">
        <f t="shared" si="16"/>
        <v>279538</v>
      </c>
      <c r="O59" s="69">
        <v>1148</v>
      </c>
      <c r="P59" s="69">
        <v>243.5</v>
      </c>
      <c r="R59" s="115"/>
      <c r="S59" s="115" t="s">
        <v>25</v>
      </c>
      <c r="T59" s="115"/>
      <c r="U59" s="115"/>
      <c r="V59" s="115"/>
      <c r="W59" s="195"/>
      <c r="X59" s="195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21" t="s">
        <v>4630</v>
      </c>
      <c r="N60" s="117">
        <f t="shared" si="16"/>
        <v>1524050.0000000002</v>
      </c>
      <c r="O60" s="69">
        <v>5500</v>
      </c>
      <c r="P60" s="69">
        <v>277.10000000000002</v>
      </c>
      <c r="Q60" s="96"/>
      <c r="R60" s="115"/>
      <c r="S60" s="115"/>
      <c r="T60" s="115" t="s">
        <v>25</v>
      </c>
      <c r="U60" s="115"/>
      <c r="V60" s="115"/>
      <c r="W60" s="195"/>
      <c r="X60" s="195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56"/>
      <c r="L61" s="117"/>
      <c r="M61" s="19" t="s">
        <v>4179</v>
      </c>
      <c r="N61" s="113">
        <f t="shared" si="16"/>
        <v>281443366.80000001</v>
      </c>
      <c r="O61" s="99">
        <v>1297572</v>
      </c>
      <c r="P61" s="99">
        <v>216.9</v>
      </c>
      <c r="Q61" s="168" t="s">
        <v>657</v>
      </c>
      <c r="R61" s="168"/>
      <c r="S61" s="168"/>
      <c r="T61" s="168"/>
      <c r="U61" s="168"/>
      <c r="V61" s="168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 ht="3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117"/>
      <c r="M62" s="21" t="s">
        <v>1086</v>
      </c>
      <c r="N62" s="117">
        <f t="shared" si="16"/>
        <v>0</v>
      </c>
      <c r="O62" s="69">
        <v>0</v>
      </c>
      <c r="P62" s="69">
        <v>505000</v>
      </c>
      <c r="Q62" s="168" t="s">
        <v>267</v>
      </c>
      <c r="R62" s="168" t="s">
        <v>180</v>
      </c>
      <c r="S62" s="168" t="s">
        <v>183</v>
      </c>
      <c r="T62" s="168" t="s">
        <v>8</v>
      </c>
      <c r="U62" s="168" t="s">
        <v>4363</v>
      </c>
      <c r="V62" s="73" t="s">
        <v>4365</v>
      </c>
      <c r="W62" s="32">
        <v>2</v>
      </c>
      <c r="X62" s="32">
        <v>4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99"/>
      <c r="L63" s="117"/>
      <c r="M63" s="73"/>
      <c r="N63" s="117"/>
      <c r="O63" s="122"/>
      <c r="P63" s="122"/>
      <c r="Q63" s="168">
        <v>0</v>
      </c>
      <c r="R63" s="168" t="s">
        <v>4172</v>
      </c>
      <c r="S63" s="168">
        <f>S93</f>
        <v>195</v>
      </c>
      <c r="T63" s="168"/>
      <c r="U63" s="168"/>
      <c r="V63" s="73"/>
      <c r="W63" s="32"/>
      <c r="X63" s="32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99"/>
      <c r="L64" s="117"/>
      <c r="M64" s="168" t="s">
        <v>1152</v>
      </c>
      <c r="N64" s="117">
        <v>14908</v>
      </c>
      <c r="O64" s="96"/>
      <c r="P64" t="s">
        <v>25</v>
      </c>
      <c r="Q64" s="169">
        <v>863944</v>
      </c>
      <c r="R64" s="168" t="s">
        <v>4438</v>
      </c>
      <c r="S64" s="168">
        <f>S63-62</f>
        <v>133</v>
      </c>
      <c r="T64" s="191" t="s">
        <v>4510</v>
      </c>
      <c r="U64" s="168">
        <v>184.6</v>
      </c>
      <c r="V64" s="168">
        <f t="shared" ref="V64:V84" si="17">U64*(1+$N$93+$Q$15*S64/36500)</f>
        <v>205.50177753424657</v>
      </c>
      <c r="W64" s="32">
        <f t="shared" ref="W64:W84" si="18">V64*(1+$W$19/100)</f>
        <v>209.6118130849315</v>
      </c>
      <c r="X64" s="32">
        <f t="shared" ref="X64:X84" si="19">V64*(1+$X$19/100)</f>
        <v>213.72184863561645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99"/>
      <c r="L65" s="99"/>
      <c r="M65" s="168" t="s">
        <v>1153</v>
      </c>
      <c r="N65" s="117">
        <v>5282</v>
      </c>
      <c r="O65" s="96"/>
      <c r="P65" t="s">
        <v>25</v>
      </c>
      <c r="Q65" s="169">
        <v>1692313</v>
      </c>
      <c r="R65" s="168" t="s">
        <v>4513</v>
      </c>
      <c r="S65" s="198">
        <f>S64-21</f>
        <v>112</v>
      </c>
      <c r="T65" s="190" t="s">
        <v>4514</v>
      </c>
      <c r="U65" s="168">
        <v>168.5</v>
      </c>
      <c r="V65" s="168">
        <f t="shared" si="17"/>
        <v>184.86435068493151</v>
      </c>
      <c r="W65" s="32">
        <f t="shared" si="18"/>
        <v>188.56163769863014</v>
      </c>
      <c r="X65" s="32">
        <f t="shared" si="19"/>
        <v>192.25892471232876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O66" s="115"/>
      <c r="P66" s="115"/>
      <c r="Q66" s="169">
        <v>101153</v>
      </c>
      <c r="R66" s="168" t="s">
        <v>4516</v>
      </c>
      <c r="S66" s="198">
        <f>S65-1</f>
        <v>111</v>
      </c>
      <c r="T66" s="190" t="s">
        <v>4518</v>
      </c>
      <c r="U66" s="168">
        <v>166.7</v>
      </c>
      <c r="V66" s="168">
        <f t="shared" si="17"/>
        <v>182.7616591780822</v>
      </c>
      <c r="W66" s="32">
        <f t="shared" si="18"/>
        <v>186.41689236164385</v>
      </c>
      <c r="X66" s="32">
        <f t="shared" si="19"/>
        <v>190.07212554520549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25</v>
      </c>
      <c r="L67" s="117"/>
      <c r="M67" s="168" t="s">
        <v>4180</v>
      </c>
      <c r="N67" s="113">
        <f>-O67*P67</f>
        <v>-11646228.6</v>
      </c>
      <c r="O67" s="99">
        <v>53694</v>
      </c>
      <c r="P67" s="99">
        <f>P61</f>
        <v>216.9</v>
      </c>
      <c r="Q67" s="169">
        <v>183105</v>
      </c>
      <c r="R67" s="168" t="s">
        <v>4231</v>
      </c>
      <c r="S67" s="198">
        <f>S66-1</f>
        <v>110</v>
      </c>
      <c r="T67" s="190" t="s">
        <v>4522</v>
      </c>
      <c r="U67" s="168">
        <v>166.6</v>
      </c>
      <c r="V67" s="168">
        <f t="shared" si="17"/>
        <v>182.524221369863</v>
      </c>
      <c r="W67" s="32">
        <f t="shared" si="18"/>
        <v>186.17470579726026</v>
      </c>
      <c r="X67" s="32">
        <f t="shared" si="19"/>
        <v>189.82519022465752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/>
      <c r="N68" s="113"/>
      <c r="Q68" s="169">
        <v>168846</v>
      </c>
      <c r="R68" s="168" t="s">
        <v>3691</v>
      </c>
      <c r="S68" s="198">
        <f>S67-30</f>
        <v>80</v>
      </c>
      <c r="T68" s="190" t="s">
        <v>4622</v>
      </c>
      <c r="U68" s="168">
        <v>172.2</v>
      </c>
      <c r="V68" s="168">
        <f t="shared" si="17"/>
        <v>184.69653041095893</v>
      </c>
      <c r="W68" s="32">
        <f t="shared" si="18"/>
        <v>188.3904610191781</v>
      </c>
      <c r="X68" s="32">
        <f t="shared" si="19"/>
        <v>192.08439162739728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Q69" s="169">
        <v>250962</v>
      </c>
      <c r="R69" s="168" t="s">
        <v>4665</v>
      </c>
      <c r="S69" s="198">
        <f>S68-10</f>
        <v>70</v>
      </c>
      <c r="T69" s="190" t="s">
        <v>4666</v>
      </c>
      <c r="U69" s="168">
        <v>5315.5</v>
      </c>
      <c r="V69" s="168">
        <f t="shared" si="17"/>
        <v>5660.4686684931521</v>
      </c>
      <c r="W69" s="32">
        <f t="shared" si="18"/>
        <v>5773.6780418630151</v>
      </c>
      <c r="X69" s="32">
        <f t="shared" si="19"/>
        <v>5886.8874152328781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/>
      <c r="L70" s="117"/>
      <c r="M70" s="168" t="s">
        <v>4446</v>
      </c>
      <c r="N70" s="113">
        <f>-S185</f>
        <v>-15338671.310304442</v>
      </c>
      <c r="Q70" s="169">
        <v>352231</v>
      </c>
      <c r="R70" s="215" t="s">
        <v>4715</v>
      </c>
      <c r="S70" s="198">
        <f>S69-7</f>
        <v>63</v>
      </c>
      <c r="T70" s="190" t="s">
        <v>4717</v>
      </c>
      <c r="U70" s="215">
        <v>502.3</v>
      </c>
      <c r="V70" s="215">
        <f t="shared" si="17"/>
        <v>532.20129972602751</v>
      </c>
      <c r="W70" s="32">
        <f t="shared" si="18"/>
        <v>542.84532572054809</v>
      </c>
      <c r="X70" s="32">
        <f t="shared" si="19"/>
        <v>553.48935171506866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/>
      <c r="L71" s="117"/>
      <c r="M71" s="168" t="s">
        <v>4739</v>
      </c>
      <c r="N71" s="113">
        <f>50*P62</f>
        <v>25250000</v>
      </c>
      <c r="P71" t="s">
        <v>25</v>
      </c>
      <c r="Q71" s="169">
        <v>165067</v>
      </c>
      <c r="R71" s="215" t="s">
        <v>4765</v>
      </c>
      <c r="S71" s="198">
        <f>S70-16</f>
        <v>47</v>
      </c>
      <c r="T71" s="190" t="s">
        <v>4773</v>
      </c>
      <c r="U71" s="215">
        <v>3095.9</v>
      </c>
      <c r="V71" s="215">
        <f t="shared" si="17"/>
        <v>3242.1961183561652</v>
      </c>
      <c r="W71" s="32">
        <f t="shared" si="18"/>
        <v>3307.0400407232887</v>
      </c>
      <c r="X71" s="32">
        <f t="shared" si="19"/>
        <v>3371.8839630904122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168"/>
      <c r="L72" s="117"/>
      <c r="M72" s="168"/>
      <c r="N72" s="113"/>
      <c r="P72" t="s">
        <v>25</v>
      </c>
      <c r="Q72" s="169">
        <v>62110</v>
      </c>
      <c r="R72" s="215" t="s">
        <v>4905</v>
      </c>
      <c r="S72" s="198">
        <f>S71-26</f>
        <v>21</v>
      </c>
      <c r="T72" s="190" t="s">
        <v>4909</v>
      </c>
      <c r="U72" s="215">
        <v>270</v>
      </c>
      <c r="V72" s="215">
        <f t="shared" si="17"/>
        <v>277.3735890410959</v>
      </c>
      <c r="W72" s="32">
        <f t="shared" si="18"/>
        <v>282.92106082191782</v>
      </c>
      <c r="X72" s="32">
        <f t="shared" si="19"/>
        <v>288.46853260273974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s="168" t="s">
        <v>598</v>
      </c>
      <c r="L73" s="113">
        <f>SUM(L16:L57)</f>
        <v>497296530.98434103</v>
      </c>
      <c r="M73" s="168"/>
      <c r="N73" s="113">
        <f>SUM(N16:N72)</f>
        <v>556274605.60535455</v>
      </c>
      <c r="Q73" s="169">
        <v>48217</v>
      </c>
      <c r="R73" s="215" t="s">
        <v>4924</v>
      </c>
      <c r="S73" s="198">
        <f>S72-2</f>
        <v>19</v>
      </c>
      <c r="T73" s="190" t="s">
        <v>4930</v>
      </c>
      <c r="U73" s="215">
        <v>400</v>
      </c>
      <c r="V73" s="215">
        <f t="shared" si="17"/>
        <v>410.31013698630136</v>
      </c>
      <c r="W73" s="32">
        <f t="shared" si="18"/>
        <v>418.51633972602741</v>
      </c>
      <c r="X73" s="32">
        <f t="shared" si="19"/>
        <v>426.72254246575341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s="168" t="s">
        <v>599</v>
      </c>
      <c r="L74" s="113">
        <f>L16+L17+L27</f>
        <v>955749</v>
      </c>
      <c r="M74" s="168"/>
      <c r="N74" s="113">
        <f>N16+N17+N39</f>
        <v>641053</v>
      </c>
      <c r="Q74" s="169">
        <v>115911</v>
      </c>
      <c r="R74" s="215" t="s">
        <v>981</v>
      </c>
      <c r="S74" s="198">
        <f>S73-1</f>
        <v>18</v>
      </c>
      <c r="T74" s="190" t="s">
        <v>4933</v>
      </c>
      <c r="U74" s="215">
        <v>3605.5</v>
      </c>
      <c r="V74" s="215">
        <f t="shared" si="17"/>
        <v>3695.6671342465756</v>
      </c>
      <c r="W74" s="32">
        <f t="shared" si="18"/>
        <v>3769.5804769315073</v>
      </c>
      <c r="X74" s="32">
        <f t="shared" si="19"/>
        <v>3843.4938196164389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K75" s="56" t="s">
        <v>716</v>
      </c>
      <c r="L75" s="1">
        <f>L73+N7</f>
        <v>567296530.98434103</v>
      </c>
      <c r="M75" s="113"/>
      <c r="N75" s="168"/>
      <c r="O75" s="115"/>
      <c r="P75" s="115"/>
      <c r="Q75" s="169">
        <v>102339</v>
      </c>
      <c r="R75" s="215" t="s">
        <v>4938</v>
      </c>
      <c r="S75" s="198">
        <f>S74-8</f>
        <v>10</v>
      </c>
      <c r="T75" s="190" t="s">
        <v>4939</v>
      </c>
      <c r="U75" s="215">
        <v>4429</v>
      </c>
      <c r="V75" s="215">
        <f t="shared" si="17"/>
        <v>4512.5806904109595</v>
      </c>
      <c r="W75" s="32">
        <f t="shared" si="18"/>
        <v>4602.8323042191787</v>
      </c>
      <c r="X75" s="32">
        <f t="shared" si="19"/>
        <v>4693.0839180273979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O76" s="96"/>
      <c r="P76" s="96"/>
      <c r="Q76" s="169">
        <v>3792615</v>
      </c>
      <c r="R76" s="5" t="s">
        <v>4954</v>
      </c>
      <c r="S76" s="198">
        <f>S75-4</f>
        <v>6</v>
      </c>
      <c r="T76" s="190" t="s">
        <v>4957</v>
      </c>
      <c r="U76" s="215">
        <v>3775.1</v>
      </c>
      <c r="V76" s="215">
        <f t="shared" si="17"/>
        <v>3834.7569227397262</v>
      </c>
      <c r="W76" s="32">
        <f t="shared" si="18"/>
        <v>3911.4520611945209</v>
      </c>
      <c r="X76" s="32">
        <f t="shared" si="19"/>
        <v>3988.1471996493156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25"/>
      <c r="O77" t="s">
        <v>25</v>
      </c>
      <c r="Q77" s="169">
        <v>6278475</v>
      </c>
      <c r="R77" s="5" t="s">
        <v>4954</v>
      </c>
      <c r="S77" s="198">
        <f>S76</f>
        <v>6</v>
      </c>
      <c r="T77" s="190" t="s">
        <v>4958</v>
      </c>
      <c r="U77" s="215">
        <v>6250.1</v>
      </c>
      <c r="V77" s="215">
        <f t="shared" si="17"/>
        <v>6348.868703561644</v>
      </c>
      <c r="W77" s="32">
        <f t="shared" si="18"/>
        <v>6475.8460776328766</v>
      </c>
      <c r="X77" s="32">
        <f t="shared" si="19"/>
        <v>6602.8234517041101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25" t="s">
        <v>4080</v>
      </c>
      <c r="N78" s="99" t="s">
        <v>452</v>
      </c>
      <c r="O78" s="113">
        <f>O61*25</f>
        <v>32439300</v>
      </c>
      <c r="P78" s="115"/>
      <c r="Q78" s="169">
        <v>13517</v>
      </c>
      <c r="R78" s="5" t="s">
        <v>4954</v>
      </c>
      <c r="S78" s="198">
        <f>S77</f>
        <v>6</v>
      </c>
      <c r="T78" s="190" t="s">
        <v>4959</v>
      </c>
      <c r="U78" s="215">
        <v>4485.1000000000004</v>
      </c>
      <c r="V78" s="215">
        <f t="shared" si="17"/>
        <v>4555.9768679452063</v>
      </c>
      <c r="W78" s="32">
        <f t="shared" si="18"/>
        <v>4647.0964053041107</v>
      </c>
      <c r="X78" s="32">
        <f t="shared" si="19"/>
        <v>4738.2159426630151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77"/>
      <c r="N79" s="99" t="s">
        <v>1087</v>
      </c>
      <c r="O79" s="113">
        <f>O35*25</f>
        <v>3141975</v>
      </c>
      <c r="P79" s="115"/>
      <c r="Q79" s="169">
        <v>19918023</v>
      </c>
      <c r="R79" s="5" t="s">
        <v>4954</v>
      </c>
      <c r="S79" s="198">
        <f>S78</f>
        <v>6</v>
      </c>
      <c r="T79" s="190" t="s">
        <v>4960</v>
      </c>
      <c r="U79" s="215">
        <v>183</v>
      </c>
      <c r="V79" s="215">
        <f t="shared" si="17"/>
        <v>185.89190136986301</v>
      </c>
      <c r="W79" s="32">
        <f t="shared" si="18"/>
        <v>189.60973939726026</v>
      </c>
      <c r="X79" s="32">
        <f t="shared" si="19"/>
        <v>193.32757742465753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 t="s">
        <v>4868</v>
      </c>
      <c r="N80" s="99" t="s">
        <v>751</v>
      </c>
      <c r="O80" s="113">
        <f>O21*25</f>
        <v>2060725</v>
      </c>
      <c r="Q80" s="169">
        <v>529520</v>
      </c>
      <c r="R80" s="5" t="s">
        <v>4983</v>
      </c>
      <c r="S80" s="198">
        <f>S79-8</f>
        <v>-2</v>
      </c>
      <c r="T80" s="190" t="s">
        <v>4985</v>
      </c>
      <c r="U80" s="215">
        <v>4429.2</v>
      </c>
      <c r="V80" s="215">
        <f t="shared" si="17"/>
        <v>4472.0115550684932</v>
      </c>
      <c r="W80" s="32">
        <f t="shared" si="18"/>
        <v>4561.4517861698632</v>
      </c>
      <c r="X80" s="32">
        <f t="shared" si="19"/>
        <v>4650.8920172712333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M81" s="122" t="s">
        <v>4411</v>
      </c>
      <c r="O81" s="114"/>
      <c r="Q81" s="169">
        <v>168390</v>
      </c>
      <c r="R81" s="19" t="s">
        <v>4998</v>
      </c>
      <c r="S81" s="198">
        <f>S80-6</f>
        <v>-8</v>
      </c>
      <c r="T81" s="190" t="s">
        <v>5000</v>
      </c>
      <c r="U81" s="215">
        <v>632.5</v>
      </c>
      <c r="V81" s="215">
        <f t="shared" si="17"/>
        <v>635.70235616438367</v>
      </c>
      <c r="W81" s="32">
        <f t="shared" si="18"/>
        <v>648.4164032876713</v>
      </c>
      <c r="X81" s="32">
        <f t="shared" si="19"/>
        <v>661.13045041095904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M82" s="122" t="s">
        <v>4507</v>
      </c>
      <c r="N82" s="96"/>
      <c r="Q82" s="169">
        <v>1081896</v>
      </c>
      <c r="R82" s="19" t="s">
        <v>5060</v>
      </c>
      <c r="S82" s="198">
        <f>S81-15</f>
        <v>-23</v>
      </c>
      <c r="T82" s="190" t="s">
        <v>5063</v>
      </c>
      <c r="U82" s="215">
        <v>220</v>
      </c>
      <c r="V82" s="215">
        <f t="shared" si="17"/>
        <v>218.58235616438358</v>
      </c>
      <c r="W82" s="32">
        <f t="shared" si="18"/>
        <v>222.95400328767127</v>
      </c>
      <c r="X82" s="32">
        <f t="shared" si="19"/>
        <v>227.32565041095893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122" t="s">
        <v>4577</v>
      </c>
      <c r="N83" s="96"/>
      <c r="P83" t="s">
        <v>25</v>
      </c>
      <c r="Q83" s="169">
        <v>466781</v>
      </c>
      <c r="R83" s="19" t="s">
        <v>5064</v>
      </c>
      <c r="S83" s="198">
        <f>S82-1</f>
        <v>-24</v>
      </c>
      <c r="T83" s="190" t="s">
        <v>5065</v>
      </c>
      <c r="U83" s="215">
        <v>4005.4</v>
      </c>
      <c r="V83" s="215">
        <f t="shared" si="17"/>
        <v>3976.5172252054799</v>
      </c>
      <c r="W83" s="32">
        <f t="shared" si="18"/>
        <v>4056.0475697095894</v>
      </c>
      <c r="X83" s="32">
        <f t="shared" si="19"/>
        <v>4135.5779142136989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 ht="45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s="214" t="s">
        <v>4789</v>
      </c>
      <c r="L84" s="22" t="s">
        <v>4755</v>
      </c>
      <c r="M84" s="208" t="s">
        <v>4730</v>
      </c>
      <c r="N84" s="96"/>
      <c r="P84" s="115"/>
      <c r="Q84" s="169"/>
      <c r="R84" s="168"/>
      <c r="S84" s="113"/>
      <c r="T84" s="113"/>
      <c r="U84" s="168"/>
      <c r="V84" s="168">
        <f t="shared" si="17"/>
        <v>0</v>
      </c>
      <c r="W84" s="32">
        <f t="shared" si="18"/>
        <v>0</v>
      </c>
      <c r="X84" s="32">
        <f t="shared" si="19"/>
        <v>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4790</v>
      </c>
      <c r="M85" s="122"/>
      <c r="N85" s="96"/>
      <c r="P85" s="115" t="s">
        <v>25</v>
      </c>
      <c r="Q85" s="113">
        <f>SUM(N30:N35)-SUM(Q63:Q84)</f>
        <v>5104898.700000003</v>
      </c>
      <c r="R85" s="168"/>
      <c r="S85" s="168"/>
      <c r="T85" s="168"/>
      <c r="U85" s="168"/>
      <c r="V85" s="168"/>
      <c r="W85" s="32"/>
      <c r="X85" s="32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4580</v>
      </c>
      <c r="L86" s="96"/>
      <c r="M86" s="122"/>
      <c r="O86" t="s">
        <v>25</v>
      </c>
      <c r="P86" s="115"/>
      <c r="R86" s="115"/>
      <c r="S86" s="115"/>
      <c r="T86" s="115" t="s">
        <v>25</v>
      </c>
      <c r="U86" s="115"/>
      <c r="V86" s="115"/>
      <c r="W86" s="195" t="s">
        <v>25</v>
      </c>
      <c r="X86" s="195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4869</v>
      </c>
      <c r="M87" s="96">
        <f>O61+O21+O35-O67</f>
        <v>1451986</v>
      </c>
      <c r="N87" s="113">
        <f>M87*P61</f>
        <v>314935763.40000004</v>
      </c>
      <c r="P87" s="115"/>
      <c r="Q87" t="s">
        <v>25</v>
      </c>
      <c r="S87" s="26" t="s">
        <v>25</v>
      </c>
      <c r="T87" t="s">
        <v>25</v>
      </c>
      <c r="U87" s="96" t="s">
        <v>25</v>
      </c>
      <c r="V87" s="115" t="s">
        <v>25</v>
      </c>
      <c r="W87" s="195" t="s">
        <v>25</v>
      </c>
      <c r="X87" s="195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4870</v>
      </c>
      <c r="M88" t="s">
        <v>4267</v>
      </c>
      <c r="P88" s="115"/>
      <c r="Q88" t="s">
        <v>25</v>
      </c>
      <c r="T88" t="s">
        <v>25</v>
      </c>
      <c r="W88" s="195" t="s">
        <v>25</v>
      </c>
      <c r="X88" s="195"/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4871</v>
      </c>
      <c r="M89" t="s">
        <v>4582</v>
      </c>
      <c r="N89" t="s">
        <v>25</v>
      </c>
      <c r="P89" s="115"/>
      <c r="T89" t="s">
        <v>25</v>
      </c>
      <c r="U89" s="96" t="s">
        <v>25</v>
      </c>
      <c r="V89" t="s">
        <v>25</v>
      </c>
      <c r="W89" s="195"/>
      <c r="X89" s="195"/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t="s">
        <v>4540</v>
      </c>
      <c r="P90" s="115"/>
      <c r="W90" s="195"/>
      <c r="X90" s="195"/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 ht="30">
      <c r="D91" s="32" t="s">
        <v>318</v>
      </c>
      <c r="E91" s="1">
        <v>15000</v>
      </c>
      <c r="G91" s="47">
        <v>500000</v>
      </c>
      <c r="H91" s="48" t="s">
        <v>564</v>
      </c>
      <c r="K91" t="s">
        <v>4586</v>
      </c>
      <c r="M91" t="s">
        <v>949</v>
      </c>
      <c r="N91">
        <v>6.3E-3</v>
      </c>
      <c r="P91" s="115"/>
      <c r="Q91" s="73" t="s">
        <v>4295</v>
      </c>
      <c r="R91" s="112"/>
      <c r="S91" s="112"/>
      <c r="T91" s="112"/>
      <c r="U91" s="168" t="s">
        <v>4363</v>
      </c>
      <c r="V91" s="36" t="s">
        <v>4365</v>
      </c>
      <c r="W91" s="32"/>
      <c r="X91" s="32"/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4539</v>
      </c>
      <c r="M92" t="s">
        <v>61</v>
      </c>
      <c r="N92">
        <v>4.8999999999999998E-3</v>
      </c>
      <c r="P92" s="115"/>
      <c r="Q92" s="112" t="s">
        <v>267</v>
      </c>
      <c r="R92" s="112" t="s">
        <v>180</v>
      </c>
      <c r="S92" s="112" t="s">
        <v>183</v>
      </c>
      <c r="T92" s="112" t="s">
        <v>8</v>
      </c>
      <c r="U92" s="168"/>
      <c r="V92" s="99"/>
      <c r="W92" s="32">
        <v>2</v>
      </c>
      <c r="X92" s="32">
        <v>4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s="22" t="s">
        <v>4243</v>
      </c>
      <c r="M93" t="s">
        <v>6</v>
      </c>
      <c r="N93">
        <f>N91+N92</f>
        <v>1.12E-2</v>
      </c>
      <c r="O93" t="s">
        <v>25</v>
      </c>
      <c r="P93" t="s">
        <v>25</v>
      </c>
      <c r="Q93" s="35">
        <v>184971545</v>
      </c>
      <c r="R93" s="5" t="s">
        <v>4172</v>
      </c>
      <c r="S93" s="5">
        <v>195</v>
      </c>
      <c r="T93" s="5" t="s">
        <v>4346</v>
      </c>
      <c r="U93" s="168">
        <v>192</v>
      </c>
      <c r="V93" s="99">
        <f t="shared" ref="V93:V124" si="21">U93*(1+$N$93+$Q$15*S93/36500)</f>
        <v>222.87149589041098</v>
      </c>
      <c r="W93" s="32">
        <f t="shared" ref="W93:W114" si="22">V93*(1+$W$19/100)</f>
        <v>227.3289258082192</v>
      </c>
      <c r="X93" s="32">
        <f t="shared" ref="X93:X114" si="23">V93*(1+$X$19/100)</f>
        <v>231.78635572602744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4536</v>
      </c>
      <c r="Q94" s="35">
        <v>9560464</v>
      </c>
      <c r="R94" s="5" t="s">
        <v>4299</v>
      </c>
      <c r="S94" s="5">
        <f>S93-31</f>
        <v>164</v>
      </c>
      <c r="T94" s="5" t="s">
        <v>4312</v>
      </c>
      <c r="U94" s="168">
        <v>214.57</v>
      </c>
      <c r="V94" s="99">
        <f t="shared" si="21"/>
        <v>243.96785358904111</v>
      </c>
      <c r="W94" s="32">
        <f t="shared" si="22"/>
        <v>248.84721066082193</v>
      </c>
      <c r="X94" s="32">
        <f t="shared" si="23"/>
        <v>253.72656773260277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4296</v>
      </c>
      <c r="Q95" s="35">
        <v>2000000</v>
      </c>
      <c r="R95" s="5" t="s">
        <v>4342</v>
      </c>
      <c r="S95" s="5">
        <f>S94-11</f>
        <v>153</v>
      </c>
      <c r="T95" s="5" t="s">
        <v>4345</v>
      </c>
      <c r="U95" s="168">
        <v>206.8</v>
      </c>
      <c r="V95" s="99">
        <f t="shared" si="21"/>
        <v>233.3882476712329</v>
      </c>
      <c r="W95" s="32">
        <f t="shared" si="22"/>
        <v>238.05601262465757</v>
      </c>
      <c r="X95" s="32">
        <f t="shared" si="23"/>
        <v>242.72377757808223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t="s">
        <v>25</v>
      </c>
      <c r="Q96" s="35">
        <v>1429825</v>
      </c>
      <c r="R96" s="5" t="s">
        <v>4372</v>
      </c>
      <c r="S96" s="5">
        <f>S95-7</f>
        <v>146</v>
      </c>
      <c r="T96" s="5" t="s">
        <v>4381</v>
      </c>
      <c r="U96" s="168">
        <v>203.9</v>
      </c>
      <c r="V96" s="99">
        <f t="shared" si="21"/>
        <v>229.02048000000005</v>
      </c>
      <c r="W96" s="32">
        <f t="shared" si="22"/>
        <v>233.60088960000004</v>
      </c>
      <c r="X96" s="32">
        <f t="shared" si="23"/>
        <v>238.18129920000007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s="194" t="s">
        <v>4535</v>
      </c>
      <c r="Q97" s="35">
        <v>1420747</v>
      </c>
      <c r="R97" s="5" t="s">
        <v>4372</v>
      </c>
      <c r="S97" s="5">
        <f>S96</f>
        <v>146</v>
      </c>
      <c r="T97" s="5" t="s">
        <v>4383</v>
      </c>
      <c r="U97" s="168">
        <v>203.1</v>
      </c>
      <c r="V97" s="99">
        <f t="shared" si="21"/>
        <v>228.12192000000005</v>
      </c>
      <c r="W97" s="32">
        <f t="shared" si="22"/>
        <v>232.68435840000006</v>
      </c>
      <c r="X97" s="32">
        <f t="shared" si="23"/>
        <v>237.24679680000006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M98" t="s">
        <v>4536</v>
      </c>
      <c r="Q98" s="35">
        <v>2412371</v>
      </c>
      <c r="R98" s="5" t="s">
        <v>4374</v>
      </c>
      <c r="S98" s="5">
        <f>S97-1</f>
        <v>145</v>
      </c>
      <c r="T98" s="5" t="s">
        <v>4390</v>
      </c>
      <c r="U98" s="168">
        <v>3930</v>
      </c>
      <c r="V98" s="99">
        <f t="shared" si="21"/>
        <v>4411.1612054794523</v>
      </c>
      <c r="W98" s="32">
        <f t="shared" si="22"/>
        <v>4499.3844295890412</v>
      </c>
      <c r="X98" s="32">
        <f t="shared" si="23"/>
        <v>4587.6076536986302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M99" t="s">
        <v>4539</v>
      </c>
      <c r="Q99" s="35">
        <v>2010885</v>
      </c>
      <c r="R99" s="5" t="s">
        <v>4393</v>
      </c>
      <c r="S99" s="5">
        <f>S98-2</f>
        <v>143</v>
      </c>
      <c r="T99" s="5" t="s">
        <v>4399</v>
      </c>
      <c r="U99" s="168">
        <v>202.1</v>
      </c>
      <c r="V99" s="99">
        <f t="shared" si="21"/>
        <v>226.53361315068494</v>
      </c>
      <c r="W99" s="32">
        <f t="shared" si="22"/>
        <v>231.06428541369866</v>
      </c>
      <c r="X99" s="32">
        <f t="shared" si="23"/>
        <v>235.59495767671234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M100" t="s">
        <v>4540</v>
      </c>
      <c r="Q100" s="35">
        <v>1994038</v>
      </c>
      <c r="R100" s="5" t="s">
        <v>4404</v>
      </c>
      <c r="S100" s="5">
        <f>S99-3</f>
        <v>140</v>
      </c>
      <c r="T100" s="5" t="s">
        <v>4420</v>
      </c>
      <c r="U100" s="168">
        <v>5560.3</v>
      </c>
      <c r="V100" s="99">
        <f t="shared" si="21"/>
        <v>6219.7363463013708</v>
      </c>
      <c r="W100" s="32">
        <f t="shared" si="22"/>
        <v>6344.1310732273987</v>
      </c>
      <c r="X100" s="32">
        <f t="shared" si="23"/>
        <v>6468.5258001534257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J101" t="s">
        <v>25</v>
      </c>
      <c r="K101" s="96"/>
      <c r="L101" s="96"/>
      <c r="M101" s="96"/>
      <c r="N101" s="96"/>
      <c r="Q101" s="35">
        <v>444</v>
      </c>
      <c r="R101" s="5" t="s">
        <v>4404</v>
      </c>
      <c r="S101" s="5">
        <f>S100</f>
        <v>140</v>
      </c>
      <c r="T101" s="5" t="s">
        <v>4611</v>
      </c>
      <c r="U101" s="168">
        <v>441.8</v>
      </c>
      <c r="V101" s="99">
        <f t="shared" si="21"/>
        <v>494.19626958904115</v>
      </c>
      <c r="W101" s="32">
        <f t="shared" si="22"/>
        <v>504.080194980822</v>
      </c>
      <c r="X101" s="32">
        <f t="shared" si="23"/>
        <v>513.96412037260279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L102" s="96"/>
      <c r="M102" s="96"/>
      <c r="N102" s="96"/>
      <c r="Q102" s="35">
        <v>1971103</v>
      </c>
      <c r="R102" s="5" t="s">
        <v>4415</v>
      </c>
      <c r="S102" s="5">
        <f>S101-1</f>
        <v>139</v>
      </c>
      <c r="T102" s="5" t="s">
        <v>4416</v>
      </c>
      <c r="U102" s="168">
        <v>196.2</v>
      </c>
      <c r="V102" s="99">
        <f t="shared" si="21"/>
        <v>219.31827287671234</v>
      </c>
      <c r="W102" s="32">
        <f t="shared" si="22"/>
        <v>223.7046383342466</v>
      </c>
      <c r="X102" s="32">
        <f t="shared" si="23"/>
        <v>228.09100379178085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Q103" s="35">
        <v>1049856</v>
      </c>
      <c r="R103" s="5" t="s">
        <v>4438</v>
      </c>
      <c r="S103" s="5">
        <f>S102-6</f>
        <v>133</v>
      </c>
      <c r="T103" s="5" t="s">
        <v>4477</v>
      </c>
      <c r="U103" s="168">
        <v>184.5</v>
      </c>
      <c r="V103" s="99">
        <f t="shared" si="21"/>
        <v>205.39045479452054</v>
      </c>
      <c r="W103" s="32">
        <f t="shared" si="22"/>
        <v>209.49826389041095</v>
      </c>
      <c r="X103" s="32">
        <f t="shared" si="23"/>
        <v>213.60607298630137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Q104" s="35">
        <v>1783234</v>
      </c>
      <c r="R104" s="5" t="s">
        <v>4440</v>
      </c>
      <c r="S104" s="5">
        <f>S103-2</f>
        <v>131</v>
      </c>
      <c r="T104" s="5" t="s">
        <v>4441</v>
      </c>
      <c r="U104" s="168">
        <v>177.5</v>
      </c>
      <c r="V104" s="99">
        <f t="shared" si="21"/>
        <v>197.32553424657539</v>
      </c>
      <c r="W104" s="32">
        <f t="shared" si="22"/>
        <v>201.27204493150691</v>
      </c>
      <c r="X104" s="32">
        <f t="shared" si="23"/>
        <v>205.21855561643841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K105" s="96"/>
      <c r="P105" s="115"/>
      <c r="Q105" s="35">
        <v>1662335</v>
      </c>
      <c r="R105" s="5" t="s">
        <v>4444</v>
      </c>
      <c r="S105" s="5">
        <f>S104-5</f>
        <v>126</v>
      </c>
      <c r="T105" s="220" t="s">
        <v>4594</v>
      </c>
      <c r="U105" s="168">
        <v>190.3</v>
      </c>
      <c r="V105" s="99">
        <f t="shared" si="21"/>
        <v>210.82528876712334</v>
      </c>
      <c r="W105" s="32">
        <f t="shared" si="22"/>
        <v>215.04179454246582</v>
      </c>
      <c r="X105" s="32">
        <f t="shared" si="23"/>
        <v>219.25830031780828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F106" s="96"/>
      <c r="G106" s="96"/>
      <c r="H106" s="96"/>
      <c r="I106" s="96"/>
      <c r="J106" s="96"/>
      <c r="K106" s="96"/>
      <c r="P106" s="128"/>
      <c r="Q106" s="169">
        <v>499973</v>
      </c>
      <c r="R106" s="168" t="s">
        <v>4584</v>
      </c>
      <c r="S106" s="168">
        <f>S105-37</f>
        <v>89</v>
      </c>
      <c r="T106" s="73" t="s">
        <v>4585</v>
      </c>
      <c r="U106" s="168">
        <v>413</v>
      </c>
      <c r="V106" s="99">
        <f t="shared" si="21"/>
        <v>445.82275068493152</v>
      </c>
      <c r="W106" s="32">
        <f t="shared" si="22"/>
        <v>454.73920569863014</v>
      </c>
      <c r="X106" s="32">
        <f t="shared" si="23"/>
        <v>463.65566071232882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96"/>
      <c r="G107" s="96"/>
      <c r="H107" s="96"/>
      <c r="I107" s="96"/>
      <c r="J107" s="96"/>
      <c r="K107" s="96"/>
      <c r="P107" s="128"/>
      <c r="Q107" s="35">
        <v>2272487</v>
      </c>
      <c r="R107" s="5" t="s">
        <v>4604</v>
      </c>
      <c r="S107" s="5">
        <f>S106-5</f>
        <v>84</v>
      </c>
      <c r="T107" s="5" t="s">
        <v>4605</v>
      </c>
      <c r="U107" s="168">
        <v>174.9</v>
      </c>
      <c r="V107" s="99">
        <f t="shared" si="21"/>
        <v>188.12914849315069</v>
      </c>
      <c r="W107" s="32">
        <f t="shared" si="22"/>
        <v>191.89173146301371</v>
      </c>
      <c r="X107" s="32">
        <f t="shared" si="23"/>
        <v>195.65431443287673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96"/>
      <c r="G108" s="96"/>
      <c r="H108" s="96"/>
      <c r="I108" s="96"/>
      <c r="J108" s="96"/>
      <c r="L108" s="96"/>
      <c r="M108" s="96"/>
      <c r="N108" s="96"/>
      <c r="P108" s="115"/>
      <c r="Q108" s="35">
        <v>3975257</v>
      </c>
      <c r="R108" s="5" t="s">
        <v>4609</v>
      </c>
      <c r="S108" s="5">
        <f>S107-1</f>
        <v>83</v>
      </c>
      <c r="T108" s="5" t="s">
        <v>4610</v>
      </c>
      <c r="U108" s="168">
        <v>173</v>
      </c>
      <c r="V108" s="99">
        <f t="shared" si="21"/>
        <v>185.95272328767126</v>
      </c>
      <c r="W108" s="32">
        <f t="shared" si="22"/>
        <v>189.67177775342469</v>
      </c>
      <c r="X108" s="32">
        <f t="shared" si="23"/>
        <v>193.39083221917812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Q109" s="35">
        <v>1031662</v>
      </c>
      <c r="R109" s="5" t="s">
        <v>4234</v>
      </c>
      <c r="S109" s="5">
        <f>S108-1</f>
        <v>82</v>
      </c>
      <c r="T109" s="5" t="s">
        <v>4613</v>
      </c>
      <c r="U109" s="168">
        <v>171.2</v>
      </c>
      <c r="V109" s="99">
        <f t="shared" si="21"/>
        <v>183.88662356164383</v>
      </c>
      <c r="W109" s="32">
        <f t="shared" si="22"/>
        <v>187.5643560328767</v>
      </c>
      <c r="X109" s="32">
        <f t="shared" si="23"/>
        <v>191.2420885041096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Q110" s="169">
        <v>2666019</v>
      </c>
      <c r="R110" s="168" t="s">
        <v>4234</v>
      </c>
      <c r="S110" s="168">
        <f>S109</f>
        <v>82</v>
      </c>
      <c r="T110" s="168" t="s">
        <v>4615</v>
      </c>
      <c r="U110" s="168">
        <v>749</v>
      </c>
      <c r="V110" s="99">
        <f t="shared" si="21"/>
        <v>804.50397808219179</v>
      </c>
      <c r="W110" s="32">
        <f t="shared" si="22"/>
        <v>820.59405764383564</v>
      </c>
      <c r="X110" s="32">
        <f t="shared" si="23"/>
        <v>836.68413720547949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15" t="s">
        <v>4720</v>
      </c>
      <c r="G111" s="215" t="s">
        <v>941</v>
      </c>
      <c r="H111" s="215" t="s">
        <v>4699</v>
      </c>
      <c r="I111" s="215" t="s">
        <v>4698</v>
      </c>
      <c r="J111" s="32" t="s">
        <v>4541</v>
      </c>
      <c r="K111" s="215" t="s">
        <v>4687</v>
      </c>
      <c r="L111" s="32" t="s">
        <v>4689</v>
      </c>
      <c r="M111" s="32" t="s">
        <v>4657</v>
      </c>
      <c r="N111" s="215" t="s">
        <v>4658</v>
      </c>
      <c r="Q111" s="35">
        <v>577500</v>
      </c>
      <c r="R111" s="5" t="s">
        <v>4234</v>
      </c>
      <c r="S111" s="5">
        <f>S110</f>
        <v>82</v>
      </c>
      <c r="T111" s="5" t="s">
        <v>4618</v>
      </c>
      <c r="U111" s="168">
        <v>175</v>
      </c>
      <c r="V111" s="99">
        <f t="shared" si="21"/>
        <v>187.96821917808219</v>
      </c>
      <c r="W111" s="32">
        <f t="shared" si="22"/>
        <v>191.72758356164385</v>
      </c>
      <c r="X111" s="32">
        <f t="shared" si="23"/>
        <v>195.48694794520549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00">
        <f t="shared" ref="F112:F117" si="25">$L$123/G112</f>
        <v>23282.618718303365</v>
      </c>
      <c r="G112" s="200">
        <f>P61</f>
        <v>216.9</v>
      </c>
      <c r="H112" s="200" t="s">
        <v>4849</v>
      </c>
      <c r="I112" s="200" t="s">
        <v>4848</v>
      </c>
      <c r="J112" s="216" t="s">
        <v>4243</v>
      </c>
      <c r="K112" s="200">
        <v>61</v>
      </c>
      <c r="L112" s="217">
        <f t="shared" ref="L112:L120" si="26">K112*$L$123</f>
        <v>308050000</v>
      </c>
      <c r="M112" s="217">
        <f>N21+N35+N61</f>
        <v>326581992</v>
      </c>
      <c r="N112" s="184">
        <f t="shared" ref="N112:N120" si="27">L112-M112</f>
        <v>-18531992</v>
      </c>
      <c r="Q112" s="35">
        <v>12636487</v>
      </c>
      <c r="R112" s="5" t="s">
        <v>3691</v>
      </c>
      <c r="S112" s="5">
        <f>S111-2</f>
        <v>80</v>
      </c>
      <c r="T112" s="5" t="s">
        <v>4621</v>
      </c>
      <c r="U112" s="168">
        <v>172.1</v>
      </c>
      <c r="V112" s="99">
        <f t="shared" si="21"/>
        <v>184.58927342465756</v>
      </c>
      <c r="W112" s="32">
        <f t="shared" si="22"/>
        <v>188.28105889315071</v>
      </c>
      <c r="X112" s="32">
        <f t="shared" si="23"/>
        <v>191.97284436164387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15">
        <f t="shared" si="25"/>
        <v>797.00767021243018</v>
      </c>
      <c r="G113" s="215">
        <f>P53</f>
        <v>6336.2</v>
      </c>
      <c r="H113" s="215" t="s">
        <v>4703</v>
      </c>
      <c r="I113" s="215" t="s">
        <v>4702</v>
      </c>
      <c r="J113" s="32" t="s">
        <v>4395</v>
      </c>
      <c r="K113" s="215">
        <v>34</v>
      </c>
      <c r="L113" s="1">
        <f t="shared" si="26"/>
        <v>171700000</v>
      </c>
      <c r="M113" s="1">
        <f>N27+N53+N30</f>
        <v>228819190.59999999</v>
      </c>
      <c r="N113" s="113">
        <f t="shared" si="27"/>
        <v>-57119190.599999994</v>
      </c>
      <c r="Q113" s="169">
        <v>60508</v>
      </c>
      <c r="R113" s="168" t="s">
        <v>4624</v>
      </c>
      <c r="S113" s="168">
        <f>S112-3</f>
        <v>77</v>
      </c>
      <c r="T113" s="168" t="s">
        <v>4986</v>
      </c>
      <c r="U113" s="168">
        <v>1204.7</v>
      </c>
      <c r="V113" s="99">
        <f t="shared" si="21"/>
        <v>1289.3524536986301</v>
      </c>
      <c r="W113" s="32">
        <f t="shared" si="22"/>
        <v>1315.1395027726028</v>
      </c>
      <c r="X113" s="32">
        <f t="shared" si="23"/>
        <v>1340.9265518465754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00">
        <f t="shared" si="25"/>
        <v>1241.1521824616593</v>
      </c>
      <c r="G114" s="200">
        <f>P48</f>
        <v>4068.8</v>
      </c>
      <c r="H114" s="200" t="s">
        <v>3881</v>
      </c>
      <c r="I114" s="200" t="s">
        <v>4704</v>
      </c>
      <c r="J114" s="216" t="s">
        <v>4391</v>
      </c>
      <c r="K114" s="200">
        <v>34</v>
      </c>
      <c r="L114" s="217">
        <f t="shared" si="26"/>
        <v>171700000</v>
      </c>
      <c r="M114" s="217">
        <f>N48+N31+N22</f>
        <v>240075475.20000005</v>
      </c>
      <c r="N114" s="184">
        <f t="shared" si="27"/>
        <v>-68375475.200000048</v>
      </c>
      <c r="Q114" s="39">
        <v>11121445</v>
      </c>
      <c r="R114" s="5" t="s">
        <v>4624</v>
      </c>
      <c r="S114" s="5">
        <f>S113</f>
        <v>77</v>
      </c>
      <c r="T114" s="5" t="s">
        <v>4862</v>
      </c>
      <c r="U114" s="168">
        <v>171.8</v>
      </c>
      <c r="V114" s="99">
        <f t="shared" si="21"/>
        <v>183.8721271232877</v>
      </c>
      <c r="W114" s="32">
        <f t="shared" si="22"/>
        <v>187.54956966575347</v>
      </c>
      <c r="X114" s="32">
        <f t="shared" si="23"/>
        <v>191.22701220821921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15">
        <f t="shared" si="25"/>
        <v>7314.6002317497105</v>
      </c>
      <c r="G115" s="215">
        <f>P54</f>
        <v>690.4</v>
      </c>
      <c r="H115" s="215" t="s">
        <v>4701</v>
      </c>
      <c r="I115" s="215" t="s">
        <v>4700</v>
      </c>
      <c r="J115" s="32" t="s">
        <v>4410</v>
      </c>
      <c r="K115" s="215">
        <v>34</v>
      </c>
      <c r="L115" s="1">
        <f t="shared" si="26"/>
        <v>171700000</v>
      </c>
      <c r="M115" s="1">
        <f>N54+N25+N33</f>
        <v>181232761.59999996</v>
      </c>
      <c r="N115" s="113">
        <f t="shared" si="27"/>
        <v>-9532761.5999999642</v>
      </c>
      <c r="Q115" s="35">
        <v>8978273</v>
      </c>
      <c r="R115" s="5" t="s">
        <v>4628</v>
      </c>
      <c r="S115" s="5">
        <f>S114-1</f>
        <v>76</v>
      </c>
      <c r="T115" s="5" t="s">
        <v>4629</v>
      </c>
      <c r="U115" s="168">
        <v>3405.9</v>
      </c>
      <c r="V115" s="99">
        <f t="shared" si="21"/>
        <v>3642.6147156164388</v>
      </c>
      <c r="W115" s="32">
        <f t="shared" ref="W115:W172" si="28">V115*(1+$W$19/100)</f>
        <v>3715.4670099287678</v>
      </c>
      <c r="X115" s="32">
        <f t="shared" ref="X115:X172" si="29">V115*(1+$X$19/100)</f>
        <v>3788.3193042410967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00">
        <f t="shared" si="25"/>
        <v>896.48683673288235</v>
      </c>
      <c r="G116" s="200">
        <f>P56</f>
        <v>5633.1</v>
      </c>
      <c r="H116" s="200" t="s">
        <v>4705</v>
      </c>
      <c r="I116" s="200" t="s">
        <v>4704</v>
      </c>
      <c r="J116" s="216" t="s">
        <v>4537</v>
      </c>
      <c r="K116" s="200">
        <v>7</v>
      </c>
      <c r="L116" s="217">
        <f t="shared" si="26"/>
        <v>35350000</v>
      </c>
      <c r="M116" s="217">
        <f>N56</f>
        <v>16409220.300000001</v>
      </c>
      <c r="N116" s="184">
        <f t="shared" si="27"/>
        <v>18940779.699999999</v>
      </c>
      <c r="Q116" s="169">
        <v>1013762</v>
      </c>
      <c r="R116" s="168" t="s">
        <v>4628</v>
      </c>
      <c r="S116" s="168">
        <f>S115</f>
        <v>76</v>
      </c>
      <c r="T116" s="168" t="s">
        <v>4631</v>
      </c>
      <c r="U116" s="168">
        <v>217.1</v>
      </c>
      <c r="V116" s="99">
        <f t="shared" si="21"/>
        <v>232.1887473972603</v>
      </c>
      <c r="W116" s="32">
        <f t="shared" si="28"/>
        <v>236.83252234520552</v>
      </c>
      <c r="X116" s="32">
        <f t="shared" si="29"/>
        <v>241.47629729315071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15">
        <f t="shared" si="25"/>
        <v>1056.662202879143</v>
      </c>
      <c r="G117" s="215">
        <f>P55</f>
        <v>4779.2</v>
      </c>
      <c r="H117" s="215" t="s">
        <v>4706</v>
      </c>
      <c r="I117" s="215" t="s">
        <v>4707</v>
      </c>
      <c r="J117" s="32" t="s">
        <v>4538</v>
      </c>
      <c r="K117" s="215">
        <v>34</v>
      </c>
      <c r="L117" s="1">
        <f t="shared" si="26"/>
        <v>171700000</v>
      </c>
      <c r="M117" s="1">
        <f>N55+N26</f>
        <v>137024443.19999999</v>
      </c>
      <c r="N117" s="113">
        <f t="shared" si="27"/>
        <v>34675556.800000012</v>
      </c>
      <c r="Q117" s="169">
        <v>12953846</v>
      </c>
      <c r="R117" s="168" t="s">
        <v>4628</v>
      </c>
      <c r="S117" s="168">
        <f>S116</f>
        <v>76</v>
      </c>
      <c r="T117" s="168" t="s">
        <v>4750</v>
      </c>
      <c r="U117" s="168">
        <v>4500.5</v>
      </c>
      <c r="V117" s="99">
        <f t="shared" si="21"/>
        <v>4813.2909150684936</v>
      </c>
      <c r="W117" s="32">
        <f t="shared" si="28"/>
        <v>4909.5567333698637</v>
      </c>
      <c r="X117" s="32">
        <f t="shared" si="29"/>
        <v>5005.8225516712337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00"/>
      <c r="G118" s="200"/>
      <c r="H118" s="231">
        <v>35433</v>
      </c>
      <c r="I118" s="200" t="s">
        <v>4702</v>
      </c>
      <c r="J118" s="216" t="s">
        <v>4614</v>
      </c>
      <c r="K118" s="200">
        <v>2</v>
      </c>
      <c r="L118" s="217">
        <f t="shared" si="26"/>
        <v>10100000</v>
      </c>
      <c r="M118" s="217">
        <f>N57</f>
        <v>4975050</v>
      </c>
      <c r="N118" s="113">
        <f t="shared" si="27"/>
        <v>5124950</v>
      </c>
      <c r="Q118" s="35">
        <v>4068640</v>
      </c>
      <c r="R118" s="5" t="s">
        <v>4635</v>
      </c>
      <c r="S118" s="5">
        <f>S117-1</f>
        <v>75</v>
      </c>
      <c r="T118" s="5" t="s">
        <v>4636</v>
      </c>
      <c r="U118" s="168">
        <v>3322.3</v>
      </c>
      <c r="V118" s="99">
        <f t="shared" si="21"/>
        <v>3550.6557873972611</v>
      </c>
      <c r="W118" s="32">
        <f t="shared" si="28"/>
        <v>3621.6689031452065</v>
      </c>
      <c r="X118" s="32">
        <f t="shared" si="29"/>
        <v>3692.6820188931515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 t="s">
        <v>3881</v>
      </c>
      <c r="I119" s="215" t="s">
        <v>4847</v>
      </c>
      <c r="J119" s="32" t="s">
        <v>4296</v>
      </c>
      <c r="K119" s="215">
        <v>4</v>
      </c>
      <c r="L119" s="1">
        <f t="shared" si="26"/>
        <v>20200000</v>
      </c>
      <c r="M119" s="1">
        <f>N58</f>
        <v>2579094.2000000002</v>
      </c>
      <c r="N119" s="113">
        <f t="shared" si="27"/>
        <v>17620905.800000001</v>
      </c>
      <c r="Q119" s="35">
        <v>12656982</v>
      </c>
      <c r="R119" s="5" t="s">
        <v>4635</v>
      </c>
      <c r="S119" s="5">
        <f>S118</f>
        <v>75</v>
      </c>
      <c r="T119" s="5" t="s">
        <v>4637</v>
      </c>
      <c r="U119" s="168">
        <v>5249.9</v>
      </c>
      <c r="V119" s="99">
        <f t="shared" si="21"/>
        <v>5610.7479210958909</v>
      </c>
      <c r="W119" s="32">
        <f t="shared" si="28"/>
        <v>5722.9628795178087</v>
      </c>
      <c r="X119" s="32">
        <f t="shared" si="29"/>
        <v>5835.1778379397265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00"/>
      <c r="G120" s="200"/>
      <c r="H120" s="200"/>
      <c r="I120" s="200"/>
      <c r="J120" s="216" t="s">
        <v>4670</v>
      </c>
      <c r="K120" s="200">
        <v>1</v>
      </c>
      <c r="L120" s="217">
        <f t="shared" si="26"/>
        <v>5050000</v>
      </c>
      <c r="M120" s="217">
        <f>N49+N52+N60+N59</f>
        <v>2830713</v>
      </c>
      <c r="N120" s="184">
        <f t="shared" si="27"/>
        <v>2219287</v>
      </c>
      <c r="Q120" s="169">
        <v>100905</v>
      </c>
      <c r="R120" s="168" t="s">
        <v>4638</v>
      </c>
      <c r="S120" s="168">
        <f>S119-1</f>
        <v>74</v>
      </c>
      <c r="T120" s="168" t="s">
        <v>4644</v>
      </c>
      <c r="U120" s="168">
        <v>372</v>
      </c>
      <c r="V120" s="99">
        <f t="shared" si="21"/>
        <v>397.28376986301373</v>
      </c>
      <c r="W120" s="32">
        <f t="shared" si="28"/>
        <v>405.22944526027402</v>
      </c>
      <c r="X120" s="32">
        <f t="shared" si="29"/>
        <v>413.17512065753431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15"/>
      <c r="G121" s="215"/>
      <c r="H121" s="215"/>
      <c r="I121" s="215"/>
      <c r="J121" s="32" t="s">
        <v>4819</v>
      </c>
      <c r="K121" s="215"/>
      <c r="L121" s="1"/>
      <c r="M121" s="1"/>
      <c r="N121" s="113">
        <v>50000000</v>
      </c>
      <c r="Q121" s="35">
        <v>48637534</v>
      </c>
      <c r="R121" s="5" t="s">
        <v>4638</v>
      </c>
      <c r="S121" s="5">
        <f>S120</f>
        <v>74</v>
      </c>
      <c r="T121" s="5" t="s">
        <v>4642</v>
      </c>
      <c r="U121" s="168">
        <v>5330</v>
      </c>
      <c r="V121" s="99">
        <f t="shared" si="21"/>
        <v>5692.264767123288</v>
      </c>
      <c r="W121" s="32">
        <f t="shared" si="28"/>
        <v>5806.1100624657538</v>
      </c>
      <c r="X121" s="32">
        <f t="shared" si="29"/>
        <v>5919.9553578082196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00"/>
      <c r="G122" s="200"/>
      <c r="H122" s="200"/>
      <c r="I122" s="200"/>
      <c r="J122" s="216" t="s">
        <v>4955</v>
      </c>
      <c r="K122" s="200">
        <f>SUM(K112:K120)</f>
        <v>211</v>
      </c>
      <c r="L122" s="217"/>
      <c r="M122" s="217"/>
      <c r="N122" s="184"/>
      <c r="Q122" s="35">
        <v>40048573</v>
      </c>
      <c r="R122" s="5" t="s">
        <v>4638</v>
      </c>
      <c r="S122" s="5">
        <f>S121</f>
        <v>74</v>
      </c>
      <c r="T122" s="5" t="s">
        <v>4643</v>
      </c>
      <c r="U122" s="168">
        <v>498.9</v>
      </c>
      <c r="V122" s="99">
        <f t="shared" si="21"/>
        <v>532.8087978082192</v>
      </c>
      <c r="W122" s="32">
        <f t="shared" si="28"/>
        <v>543.46497376438356</v>
      </c>
      <c r="X122" s="32">
        <f t="shared" si="29"/>
        <v>554.12114972054803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4625</v>
      </c>
    </row>
    <row r="123" spans="6:46">
      <c r="F123" s="215"/>
      <c r="G123" s="215"/>
      <c r="H123" s="215" t="s">
        <v>25</v>
      </c>
      <c r="I123" s="215"/>
      <c r="J123" s="32"/>
      <c r="K123" s="215">
        <v>8</v>
      </c>
      <c r="L123" s="39">
        <f>10*P62</f>
        <v>5050000</v>
      </c>
      <c r="M123" s="1">
        <f>K123*L123</f>
        <v>40400000</v>
      </c>
      <c r="N123" s="113">
        <f>SUM(N112:N121)-M123</f>
        <v>-65377940.100000009</v>
      </c>
      <c r="P123" s="114"/>
      <c r="Q123" s="169">
        <v>1000495</v>
      </c>
      <c r="R123" s="168" t="s">
        <v>4654</v>
      </c>
      <c r="S123" s="168">
        <f>S122-1</f>
        <v>73</v>
      </c>
      <c r="T123" s="168" t="s">
        <v>4721</v>
      </c>
      <c r="U123" s="168">
        <v>724.8</v>
      </c>
      <c r="V123" s="99">
        <f t="shared" si="21"/>
        <v>773.50656000000004</v>
      </c>
      <c r="W123" s="32">
        <f t="shared" si="28"/>
        <v>788.9766912</v>
      </c>
      <c r="X123" s="32">
        <f t="shared" si="29"/>
        <v>804.44682240000009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4639</v>
      </c>
    </row>
    <row r="124" spans="6:46">
      <c r="F124" s="200"/>
      <c r="G124" s="200"/>
      <c r="H124" s="200"/>
      <c r="I124" s="200"/>
      <c r="J124" s="216"/>
      <c r="K124" s="248" t="s">
        <v>4981</v>
      </c>
      <c r="L124" s="217" t="s">
        <v>4253</v>
      </c>
      <c r="M124" s="217" t="s">
        <v>4679</v>
      </c>
      <c r="N124" s="184" t="s">
        <v>4680</v>
      </c>
      <c r="Q124" s="35">
        <v>37856769</v>
      </c>
      <c r="R124" s="5" t="s">
        <v>4654</v>
      </c>
      <c r="S124" s="5">
        <f>S123</f>
        <v>73</v>
      </c>
      <c r="T124" s="5" t="s">
        <v>4656</v>
      </c>
      <c r="U124" s="168">
        <v>5393.6</v>
      </c>
      <c r="V124" s="99">
        <f t="shared" si="21"/>
        <v>5756.0499200000013</v>
      </c>
      <c r="W124" s="32">
        <f t="shared" si="28"/>
        <v>5871.170918400001</v>
      </c>
      <c r="X124" s="32">
        <f t="shared" si="29"/>
        <v>5986.2919168000017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4640</v>
      </c>
      <c r="AQ124" t="s">
        <v>25</v>
      </c>
    </row>
    <row r="125" spans="6:46">
      <c r="F125" s="215"/>
      <c r="G125" s="215"/>
      <c r="H125" s="215"/>
      <c r="I125" s="215"/>
      <c r="J125" s="32" t="s">
        <v>4688</v>
      </c>
      <c r="K125" s="215"/>
      <c r="L125" s="1"/>
      <c r="M125" s="1"/>
      <c r="N125" s="113"/>
      <c r="Q125" s="35">
        <v>155151</v>
      </c>
      <c r="R125" s="5" t="s">
        <v>4665</v>
      </c>
      <c r="S125" s="5">
        <f>S124-3</f>
        <v>70</v>
      </c>
      <c r="T125" s="5" t="s">
        <v>4667</v>
      </c>
      <c r="U125" s="168">
        <v>5325.9</v>
      </c>
      <c r="V125" s="99">
        <f t="shared" ref="V125:V156" si="32">U125*(1+$N$93+$Q$15*S125/36500)</f>
        <v>5671.543614246576</v>
      </c>
      <c r="W125" s="32">
        <f t="shared" si="28"/>
        <v>5784.9744865315079</v>
      </c>
      <c r="X125" s="32">
        <f t="shared" si="29"/>
        <v>5898.4053588164388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4641</v>
      </c>
      <c r="AP125" t="s">
        <v>25</v>
      </c>
    </row>
    <row r="126" spans="6:46">
      <c r="M126" t="s">
        <v>25</v>
      </c>
      <c r="Q126" s="169">
        <v>109726</v>
      </c>
      <c r="R126" s="168" t="s">
        <v>4665</v>
      </c>
      <c r="S126" s="168">
        <f>S125</f>
        <v>70</v>
      </c>
      <c r="T126" s="168" t="s">
        <v>4668</v>
      </c>
      <c r="U126" s="168">
        <v>3900.7</v>
      </c>
      <c r="V126" s="99">
        <f t="shared" si="32"/>
        <v>4153.8500865753431</v>
      </c>
      <c r="W126" s="32">
        <f t="shared" si="28"/>
        <v>4236.9270883068502</v>
      </c>
      <c r="X126" s="32">
        <f t="shared" si="29"/>
        <v>4320.0040900383574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P127" s="114"/>
      <c r="Q127" s="35">
        <v>8938737</v>
      </c>
      <c r="R127" s="5" t="s">
        <v>4671</v>
      </c>
      <c r="S127" s="5">
        <f>S126-1</f>
        <v>69</v>
      </c>
      <c r="T127" s="5" t="s">
        <v>4673</v>
      </c>
      <c r="U127" s="168">
        <v>5179.5</v>
      </c>
      <c r="V127" s="99">
        <f t="shared" si="32"/>
        <v>5511.6691397260274</v>
      </c>
      <c r="W127" s="32">
        <f t="shared" si="28"/>
        <v>5621.9025225205478</v>
      </c>
      <c r="X127" s="32">
        <f t="shared" si="29"/>
        <v>5732.1359053150691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3">AL128+AK127</f>
        <v>63</v>
      </c>
      <c r="AM127" s="189">
        <f t="shared" si="31"/>
        <v>-3036600</v>
      </c>
      <c r="AN127" s="149" t="s">
        <v>4649</v>
      </c>
    </row>
    <row r="128" spans="6:46">
      <c r="F128" s="215" t="s">
        <v>5003</v>
      </c>
      <c r="G128" s="129" t="s">
        <v>5004</v>
      </c>
      <c r="H128" s="4" t="s">
        <v>4954</v>
      </c>
      <c r="I128" s="4" t="s">
        <v>4840</v>
      </c>
      <c r="J128" s="215" t="s">
        <v>4813</v>
      </c>
      <c r="K128" s="168" t="s">
        <v>4541</v>
      </c>
      <c r="L128" s="168" t="s">
        <v>4542</v>
      </c>
      <c r="M128" s="168" t="s">
        <v>4436</v>
      </c>
      <c r="N128" s="56" t="s">
        <v>190</v>
      </c>
      <c r="Q128" s="35">
        <v>2595417</v>
      </c>
      <c r="R128" s="5" t="s">
        <v>4681</v>
      </c>
      <c r="S128" s="5">
        <f>S127-1</f>
        <v>68</v>
      </c>
      <c r="T128" s="5" t="s">
        <v>4682</v>
      </c>
      <c r="U128" s="168">
        <v>4803</v>
      </c>
      <c r="V128" s="99">
        <f t="shared" si="32"/>
        <v>5107.3391342465757</v>
      </c>
      <c r="W128" s="32">
        <f t="shared" si="28"/>
        <v>5209.4859169315068</v>
      </c>
      <c r="X128" s="32">
        <f t="shared" si="29"/>
        <v>5311.6326996164389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3"/>
        <v>63</v>
      </c>
      <c r="AM128" s="189">
        <f t="shared" si="31"/>
        <v>2477619459</v>
      </c>
      <c r="AN128" s="89" t="s">
        <v>4650</v>
      </c>
    </row>
    <row r="129" spans="6:44">
      <c r="F129" s="215" t="s">
        <v>4363</v>
      </c>
      <c r="G129" s="215" t="s">
        <v>941</v>
      </c>
      <c r="H129" s="215" t="s">
        <v>4541</v>
      </c>
      <c r="I129" s="215" t="s">
        <v>937</v>
      </c>
      <c r="J129" s="215" t="s">
        <v>4814</v>
      </c>
      <c r="K129" s="168" t="s">
        <v>4243</v>
      </c>
      <c r="L129" s="169">
        <v>1100000</v>
      </c>
      <c r="M129" s="169">
        <v>1637000</v>
      </c>
      <c r="N129" s="168">
        <f t="shared" ref="N129:N137" si="34">(M129-L129)*100/L129</f>
        <v>48.81818181818182</v>
      </c>
      <c r="Q129" s="169">
        <v>2505816</v>
      </c>
      <c r="R129" s="168" t="s">
        <v>4681</v>
      </c>
      <c r="S129" s="168">
        <f>S128</f>
        <v>68</v>
      </c>
      <c r="T129" s="168" t="s">
        <v>4683</v>
      </c>
      <c r="U129" s="168">
        <v>3723</v>
      </c>
      <c r="V129" s="99">
        <f t="shared" si="32"/>
        <v>3958.9056000000005</v>
      </c>
      <c r="W129" s="32">
        <f t="shared" si="28"/>
        <v>4038.0837120000006</v>
      </c>
      <c r="X129" s="32">
        <f t="shared" si="29"/>
        <v>4117.2618240000011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3"/>
        <v>59</v>
      </c>
      <c r="AM129" s="90">
        <f t="shared" si="31"/>
        <v>516193950</v>
      </c>
      <c r="AN129" s="89" t="s">
        <v>4669</v>
      </c>
      <c r="AQ129" t="s">
        <v>25</v>
      </c>
    </row>
    <row r="130" spans="6:44">
      <c r="F130" s="1">
        <v>3307.5</v>
      </c>
      <c r="G130" s="1">
        <f>P48</f>
        <v>4068.8</v>
      </c>
      <c r="H130" s="215" t="s">
        <v>4391</v>
      </c>
      <c r="I130" s="215">
        <v>3761</v>
      </c>
      <c r="J130" s="1">
        <f>I130*G130</f>
        <v>15302756.800000001</v>
      </c>
      <c r="K130" s="5" t="s">
        <v>4536</v>
      </c>
      <c r="L130" s="169">
        <v>1100000</v>
      </c>
      <c r="M130" s="169">
        <v>4748000</v>
      </c>
      <c r="N130" s="168">
        <f t="shared" si="34"/>
        <v>331.63636363636363</v>
      </c>
      <c r="Q130" s="169">
        <v>183283</v>
      </c>
      <c r="R130" s="212" t="s">
        <v>4685</v>
      </c>
      <c r="S130" s="212">
        <f>S129-1</f>
        <v>67</v>
      </c>
      <c r="T130" s="212" t="s">
        <v>4696</v>
      </c>
      <c r="U130" s="212">
        <v>347.5</v>
      </c>
      <c r="V130" s="99">
        <f t="shared" si="32"/>
        <v>369.25254794520549</v>
      </c>
      <c r="W130" s="32">
        <f t="shared" si="28"/>
        <v>376.63759890410961</v>
      </c>
      <c r="X130" s="32">
        <f t="shared" si="29"/>
        <v>384.02264986301373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3"/>
        <v>58</v>
      </c>
      <c r="AM130" s="117">
        <f t="shared" si="31"/>
        <v>3480000</v>
      </c>
      <c r="AN130" s="99" t="s">
        <v>4672</v>
      </c>
    </row>
    <row r="131" spans="6:44">
      <c r="F131" s="1">
        <v>5249.5</v>
      </c>
      <c r="G131" s="1">
        <f>P53</f>
        <v>6336.2</v>
      </c>
      <c r="H131" s="215" t="s">
        <v>4395</v>
      </c>
      <c r="I131" s="215">
        <v>7163</v>
      </c>
      <c r="J131" s="1">
        <f>I131*G131</f>
        <v>45386200.600000001</v>
      </c>
      <c r="K131" s="5" t="s">
        <v>4537</v>
      </c>
      <c r="L131" s="169">
        <v>1100000</v>
      </c>
      <c r="M131" s="169">
        <v>5137000</v>
      </c>
      <c r="N131" s="168">
        <f t="shared" si="34"/>
        <v>367</v>
      </c>
      <c r="Q131" s="169">
        <v>177438</v>
      </c>
      <c r="R131" s="212" t="s">
        <v>4685</v>
      </c>
      <c r="S131" s="212">
        <f t="shared" ref="S131:S134" si="35">S130</f>
        <v>67</v>
      </c>
      <c r="T131" s="212" t="s">
        <v>4692</v>
      </c>
      <c r="U131" s="212">
        <v>207.3</v>
      </c>
      <c r="V131" s="99">
        <f t="shared" si="32"/>
        <v>220.27641205479455</v>
      </c>
      <c r="W131" s="32">
        <f t="shared" si="28"/>
        <v>224.68194029589046</v>
      </c>
      <c r="X131" s="32">
        <f t="shared" si="29"/>
        <v>229.08746853698634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3"/>
        <v>57</v>
      </c>
      <c r="AM131" s="117">
        <f t="shared" si="31"/>
        <v>270750000</v>
      </c>
      <c r="AN131" s="20"/>
    </row>
    <row r="132" spans="6:44">
      <c r="F132" s="1">
        <v>519.79999999999995</v>
      </c>
      <c r="G132" s="1">
        <f>P54</f>
        <v>690.4</v>
      </c>
      <c r="H132" s="215" t="s">
        <v>4410</v>
      </c>
      <c r="I132" s="215">
        <v>0</v>
      </c>
      <c r="J132" s="1">
        <f>I132*G132</f>
        <v>0</v>
      </c>
      <c r="K132" s="19" t="s">
        <v>4391</v>
      </c>
      <c r="L132" s="169">
        <v>1100000</v>
      </c>
      <c r="M132" s="169">
        <v>4300000</v>
      </c>
      <c r="N132" s="168">
        <f t="shared" si="34"/>
        <v>290.90909090909093</v>
      </c>
      <c r="P132" s="114"/>
      <c r="Q132" s="35">
        <v>559461</v>
      </c>
      <c r="R132" s="5" t="s">
        <v>4685</v>
      </c>
      <c r="S132" s="5">
        <f t="shared" si="35"/>
        <v>67</v>
      </c>
      <c r="T132" s="5" t="s">
        <v>4693</v>
      </c>
      <c r="U132" s="212">
        <v>508.1</v>
      </c>
      <c r="V132" s="99">
        <f t="shared" si="32"/>
        <v>539.90566794520555</v>
      </c>
      <c r="W132" s="32">
        <f t="shared" si="28"/>
        <v>550.70378130410973</v>
      </c>
      <c r="X132" s="32">
        <f t="shared" si="29"/>
        <v>561.50189466301379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3"/>
        <v>57</v>
      </c>
      <c r="AM132" s="90">
        <f t="shared" si="31"/>
        <v>746766120</v>
      </c>
      <c r="AN132" s="89" t="s">
        <v>4686</v>
      </c>
      <c r="AQ132" t="s">
        <v>25</v>
      </c>
    </row>
    <row r="133" spans="6:44">
      <c r="F133" s="1">
        <v>4051</v>
      </c>
      <c r="G133" s="1">
        <f>P55</f>
        <v>4779.2</v>
      </c>
      <c r="H133" s="215" t="s">
        <v>4538</v>
      </c>
      <c r="I133" s="215">
        <v>130</v>
      </c>
      <c r="J133" s="1">
        <f>I133*G133</f>
        <v>621296</v>
      </c>
      <c r="K133" s="5" t="s">
        <v>4410</v>
      </c>
      <c r="L133" s="169">
        <v>1100000</v>
      </c>
      <c r="M133" s="169">
        <v>3191000</v>
      </c>
      <c r="N133" s="168">
        <f t="shared" si="34"/>
        <v>190.09090909090909</v>
      </c>
      <c r="Q133" s="35">
        <v>9376000</v>
      </c>
      <c r="R133" s="5" t="s">
        <v>4685</v>
      </c>
      <c r="S133" s="5">
        <f>S132</f>
        <v>67</v>
      </c>
      <c r="T133" s="5" t="s">
        <v>4694</v>
      </c>
      <c r="U133" s="212">
        <v>3184.1</v>
      </c>
      <c r="V133" s="99">
        <f t="shared" si="32"/>
        <v>3383.4159364383563</v>
      </c>
      <c r="W133" s="32">
        <f t="shared" si="28"/>
        <v>3451.0842551671235</v>
      </c>
      <c r="X133" s="32">
        <f t="shared" si="29"/>
        <v>3518.7525738958907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3"/>
        <v>56</v>
      </c>
      <c r="AM133" s="117">
        <f t="shared" si="31"/>
        <v>-54880000</v>
      </c>
      <c r="AN133" s="20"/>
    </row>
    <row r="134" spans="6:44">
      <c r="F134" s="215"/>
      <c r="G134" s="215"/>
      <c r="H134" s="215"/>
      <c r="I134" s="215"/>
      <c r="J134" s="1">
        <f>SUM(J130:J133)</f>
        <v>61310253.400000006</v>
      </c>
      <c r="K134" s="5" t="s">
        <v>4538</v>
      </c>
      <c r="L134" s="169">
        <v>1100000</v>
      </c>
      <c r="M134" s="169">
        <v>5623000</v>
      </c>
      <c r="N134" s="168">
        <f t="shared" si="34"/>
        <v>411.18181818181819</v>
      </c>
      <c r="Q134" s="169">
        <v>128675</v>
      </c>
      <c r="R134" s="212" t="s">
        <v>4685</v>
      </c>
      <c r="S134" s="212">
        <f t="shared" si="35"/>
        <v>67</v>
      </c>
      <c r="T134" s="212" t="s">
        <v>4695</v>
      </c>
      <c r="U134" s="212">
        <v>699.9</v>
      </c>
      <c r="V134" s="99">
        <f t="shared" si="32"/>
        <v>743.71182246575336</v>
      </c>
      <c r="W134" s="32">
        <f t="shared" si="28"/>
        <v>758.58605891506841</v>
      </c>
      <c r="X134" s="32">
        <f t="shared" si="29"/>
        <v>773.46029536438357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3"/>
        <v>56</v>
      </c>
      <c r="AM134" s="90">
        <f t="shared" si="31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6</v>
      </c>
      <c r="K135" s="19" t="s">
        <v>4395</v>
      </c>
      <c r="L135" s="169">
        <v>1100000</v>
      </c>
      <c r="M135" s="169">
        <v>7728000</v>
      </c>
      <c r="N135" s="168">
        <f t="shared" si="34"/>
        <v>602.5454545454545</v>
      </c>
      <c r="Q135" s="35">
        <v>13100555</v>
      </c>
      <c r="R135" s="5" t="s">
        <v>4708</v>
      </c>
      <c r="S135" s="5">
        <f>S134-1</f>
        <v>66</v>
      </c>
      <c r="T135" s="5" t="s">
        <v>4709</v>
      </c>
      <c r="U135" s="212">
        <v>3180.5</v>
      </c>
      <c r="V135" s="99">
        <f t="shared" si="32"/>
        <v>3377.1507506849316</v>
      </c>
      <c r="W135" s="32">
        <f t="shared" si="28"/>
        <v>3444.6937656986302</v>
      </c>
      <c r="X135" s="32">
        <f t="shared" si="29"/>
        <v>3512.2367807123292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3"/>
        <v>56</v>
      </c>
      <c r="AM135" s="117">
        <f t="shared" si="31"/>
        <v>22624000</v>
      </c>
      <c r="AN135" s="20" t="s">
        <v>4697</v>
      </c>
    </row>
    <row r="136" spans="6:44">
      <c r="K136" s="5" t="s">
        <v>4540</v>
      </c>
      <c r="L136" s="169">
        <v>1100000</v>
      </c>
      <c r="M136" s="169">
        <v>2904000</v>
      </c>
      <c r="N136" s="168">
        <f t="shared" si="34"/>
        <v>164</v>
      </c>
      <c r="Q136" s="35">
        <v>622942</v>
      </c>
      <c r="R136" s="5" t="s">
        <v>4708</v>
      </c>
      <c r="S136" s="5">
        <f>S135</f>
        <v>66</v>
      </c>
      <c r="T136" s="5" t="s">
        <v>4710</v>
      </c>
      <c r="U136" s="212">
        <v>503.3</v>
      </c>
      <c r="V136" s="99">
        <f t="shared" si="32"/>
        <v>534.4191079452055</v>
      </c>
      <c r="W136" s="32">
        <f t="shared" si="28"/>
        <v>545.10749010410962</v>
      </c>
      <c r="X136" s="32">
        <f t="shared" si="29"/>
        <v>555.79587226301373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3"/>
        <v>51</v>
      </c>
      <c r="AM136" s="90">
        <f t="shared" si="31"/>
        <v>218873028</v>
      </c>
      <c r="AN136" s="89" t="s">
        <v>4724</v>
      </c>
    </row>
    <row r="137" spans="6:44">
      <c r="K137" s="56" t="s">
        <v>1086</v>
      </c>
      <c r="L137" s="169">
        <v>1100000</v>
      </c>
      <c r="M137" s="169">
        <v>3400000</v>
      </c>
      <c r="N137" s="168">
        <f t="shared" si="34"/>
        <v>209.09090909090909</v>
      </c>
      <c r="P137" s="114"/>
      <c r="Q137" s="35">
        <v>1472140</v>
      </c>
      <c r="R137" s="5" t="s">
        <v>4715</v>
      </c>
      <c r="S137" s="5">
        <f>S136-3</f>
        <v>63</v>
      </c>
      <c r="T137" s="5" t="s">
        <v>4719</v>
      </c>
      <c r="U137" s="168">
        <v>502</v>
      </c>
      <c r="V137" s="99">
        <f t="shared" si="32"/>
        <v>531.88344109589048</v>
      </c>
      <c r="W137" s="32">
        <f t="shared" si="28"/>
        <v>542.5211099178083</v>
      </c>
      <c r="X137" s="32">
        <f t="shared" si="29"/>
        <v>553.15877873972613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3"/>
        <v>49</v>
      </c>
      <c r="AM137" s="117">
        <f t="shared" si="31"/>
        <v>49000</v>
      </c>
      <c r="AN137" s="20"/>
      <c r="AQ137" t="s">
        <v>25</v>
      </c>
    </row>
    <row r="138" spans="6:44">
      <c r="F138" s="215"/>
      <c r="G138" s="215"/>
      <c r="H138" s="215"/>
      <c r="I138" s="215"/>
      <c r="J138" s="215" t="s">
        <v>4965</v>
      </c>
      <c r="K138" s="246" t="s">
        <v>4569</v>
      </c>
      <c r="Q138" s="35">
        <v>4394591</v>
      </c>
      <c r="R138" s="5" t="s">
        <v>4722</v>
      </c>
      <c r="S138" s="5">
        <f>S137-1</f>
        <v>62</v>
      </c>
      <c r="T138" s="5" t="s">
        <v>4723</v>
      </c>
      <c r="U138" s="168">
        <v>481.7</v>
      </c>
      <c r="V138" s="99">
        <f t="shared" si="32"/>
        <v>510.00548383561642</v>
      </c>
      <c r="W138" s="32">
        <f t="shared" si="28"/>
        <v>520.20559351232873</v>
      </c>
      <c r="X138" s="32">
        <f t="shared" si="29"/>
        <v>530.40570318904111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3"/>
        <v>44</v>
      </c>
      <c r="AM138" s="79">
        <f t="shared" si="31"/>
        <v>384536196</v>
      </c>
      <c r="AN138" s="121" t="s">
        <v>4669</v>
      </c>
    </row>
    <row r="139" spans="6:44">
      <c r="F139" s="215" t="s">
        <v>4363</v>
      </c>
      <c r="G139" s="215" t="s">
        <v>941</v>
      </c>
      <c r="H139" s="215" t="s">
        <v>4541</v>
      </c>
      <c r="I139" s="215" t="s">
        <v>937</v>
      </c>
      <c r="J139" s="215" t="s">
        <v>4814</v>
      </c>
      <c r="K139" s="246" t="s">
        <v>4570</v>
      </c>
      <c r="Q139" s="117">
        <v>4085110</v>
      </c>
      <c r="R139" s="19" t="s">
        <v>4725</v>
      </c>
      <c r="S139" s="19">
        <f>S138-1</f>
        <v>61</v>
      </c>
      <c r="T139" s="19" t="s">
        <v>4726</v>
      </c>
      <c r="U139" s="215">
        <v>3115.9</v>
      </c>
      <c r="V139" s="99">
        <f t="shared" si="32"/>
        <v>3296.6051265753426</v>
      </c>
      <c r="W139" s="32">
        <f t="shared" si="28"/>
        <v>3362.5372291068497</v>
      </c>
      <c r="X139" s="32">
        <f t="shared" si="29"/>
        <v>3428.4693316383564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3"/>
        <v>42</v>
      </c>
      <c r="AM139" s="79">
        <f t="shared" si="31"/>
        <v>739001676</v>
      </c>
      <c r="AN139" s="121" t="s">
        <v>4742</v>
      </c>
    </row>
    <row r="140" spans="6:44">
      <c r="F140" s="1">
        <v>3775.1</v>
      </c>
      <c r="G140" s="1">
        <f>P48</f>
        <v>4068.8</v>
      </c>
      <c r="H140" s="215" t="s">
        <v>4391</v>
      </c>
      <c r="I140" s="215">
        <v>1000</v>
      </c>
      <c r="J140" s="1">
        <f>I140*G140</f>
        <v>4068800</v>
      </c>
      <c r="K140" s="246" t="s">
        <v>4571</v>
      </c>
      <c r="Q140" s="117">
        <v>205386</v>
      </c>
      <c r="R140" s="19" t="s">
        <v>4727</v>
      </c>
      <c r="S140" s="19">
        <f>S139</f>
        <v>61</v>
      </c>
      <c r="T140" s="19" t="s">
        <v>4728</v>
      </c>
      <c r="U140" s="215">
        <v>178.1</v>
      </c>
      <c r="V140" s="99">
        <f t="shared" si="32"/>
        <v>188.42882410958904</v>
      </c>
      <c r="W140" s="32">
        <f t="shared" si="28"/>
        <v>192.19740059178082</v>
      </c>
      <c r="X140" s="32">
        <f t="shared" si="29"/>
        <v>195.96597707397262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3"/>
        <v>41</v>
      </c>
      <c r="AM140" s="79">
        <f t="shared" si="31"/>
        <v>546747669</v>
      </c>
      <c r="AN140" s="121" t="s">
        <v>4686</v>
      </c>
    </row>
    <row r="141" spans="6:44">
      <c r="F141" s="1">
        <v>6250.1</v>
      </c>
      <c r="G141" s="1">
        <f>P53</f>
        <v>6336.2</v>
      </c>
      <c r="H141" s="215" t="s">
        <v>4966</v>
      </c>
      <c r="I141" s="215">
        <v>1000</v>
      </c>
      <c r="J141" s="1">
        <f t="shared" ref="J141:J143" si="36">I141*G141</f>
        <v>6336200</v>
      </c>
      <c r="Q141" s="117">
        <v>8398607</v>
      </c>
      <c r="R141" s="19" t="s">
        <v>4738</v>
      </c>
      <c r="S141" s="19">
        <f>S140-8</f>
        <v>53</v>
      </c>
      <c r="T141" s="19" t="s">
        <v>4740</v>
      </c>
      <c r="U141" s="215">
        <v>3120.5</v>
      </c>
      <c r="V141" s="99">
        <f t="shared" si="32"/>
        <v>3282.3214356164385</v>
      </c>
      <c r="W141" s="32">
        <f t="shared" si="28"/>
        <v>3347.9678643287675</v>
      </c>
      <c r="X141" s="32">
        <f t="shared" si="29"/>
        <v>3413.6142930410961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3"/>
        <v>28</v>
      </c>
      <c r="AM141" s="230">
        <f t="shared" si="31"/>
        <v>1400000000</v>
      </c>
      <c r="AN141" s="161" t="s">
        <v>4815</v>
      </c>
      <c r="AP141" t="s">
        <v>25</v>
      </c>
    </row>
    <row r="142" spans="6:44">
      <c r="F142" s="1">
        <v>183</v>
      </c>
      <c r="G142" s="1">
        <f>P61</f>
        <v>216.9</v>
      </c>
      <c r="H142" s="215" t="s">
        <v>4243</v>
      </c>
      <c r="I142" s="215">
        <v>108344</v>
      </c>
      <c r="J142" s="1">
        <f t="shared" si="36"/>
        <v>23499813.600000001</v>
      </c>
      <c r="Q142" s="117">
        <v>18565999</v>
      </c>
      <c r="R142" s="19" t="s">
        <v>4741</v>
      </c>
      <c r="S142" s="19">
        <f>S141-1</f>
        <v>52</v>
      </c>
      <c r="T142" s="19" t="s">
        <v>4749</v>
      </c>
      <c r="U142" s="215">
        <v>3112.4</v>
      </c>
      <c r="V142" s="99">
        <f t="shared" si="32"/>
        <v>3271.4137950684931</v>
      </c>
      <c r="W142" s="32">
        <f t="shared" si="28"/>
        <v>3336.842070969863</v>
      </c>
      <c r="X142" s="32">
        <f t="shared" si="29"/>
        <v>3402.270346871233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3"/>
        <v>17</v>
      </c>
      <c r="AM142" s="117">
        <f t="shared" si="31"/>
        <v>510000</v>
      </c>
      <c r="AN142" s="20"/>
    </row>
    <row r="143" spans="6:44">
      <c r="F143" s="1">
        <v>4485.1000000000004</v>
      </c>
      <c r="G143" s="1">
        <f>P55</f>
        <v>4779.2</v>
      </c>
      <c r="H143" s="215" t="s">
        <v>4538</v>
      </c>
      <c r="I143" s="215">
        <v>3</v>
      </c>
      <c r="J143" s="1">
        <f t="shared" si="36"/>
        <v>14337.599999999999</v>
      </c>
      <c r="Q143" s="117">
        <v>5924703</v>
      </c>
      <c r="R143" s="19" t="s">
        <v>4752</v>
      </c>
      <c r="S143" s="19">
        <f>S142-3</f>
        <v>49</v>
      </c>
      <c r="T143" s="19" t="s">
        <v>4850</v>
      </c>
      <c r="U143" s="215">
        <v>489</v>
      </c>
      <c r="V143" s="99">
        <f t="shared" si="32"/>
        <v>512.85784109589042</v>
      </c>
      <c r="W143" s="32">
        <f t="shared" si="28"/>
        <v>523.1149979178083</v>
      </c>
      <c r="X143" s="32">
        <f t="shared" si="29"/>
        <v>533.37215473972606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3"/>
        <v>14</v>
      </c>
      <c r="AM143" s="117">
        <f t="shared" si="31"/>
        <v>8400000</v>
      </c>
      <c r="AN143" s="20"/>
      <c r="AR143" t="s">
        <v>25</v>
      </c>
    </row>
    <row r="144" spans="6:44">
      <c r="F144" s="215"/>
      <c r="G144" s="215"/>
      <c r="H144" s="215"/>
      <c r="I144" s="215"/>
      <c r="J144" s="1">
        <f>SUM(J140:J143)</f>
        <v>33919151.200000003</v>
      </c>
      <c r="Q144" s="117">
        <v>164801</v>
      </c>
      <c r="R144" s="19" t="s">
        <v>4765</v>
      </c>
      <c r="S144" s="19">
        <f>S143-2</f>
        <v>47</v>
      </c>
      <c r="T144" s="19" t="s">
        <v>4770</v>
      </c>
      <c r="U144" s="215">
        <v>3095.1</v>
      </c>
      <c r="V144" s="99">
        <f t="shared" si="32"/>
        <v>3241.3583145205484</v>
      </c>
      <c r="W144" s="32">
        <f t="shared" si="28"/>
        <v>3306.1854808109597</v>
      </c>
      <c r="X144" s="32">
        <f t="shared" si="29"/>
        <v>3371.0126471013705</v>
      </c>
      <c r="AH144" s="20">
        <v>124</v>
      </c>
      <c r="AI144" s="117" t="s">
        <v>4898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6:44">
      <c r="F145" s="215"/>
      <c r="G145" s="215"/>
      <c r="H145" s="215"/>
      <c r="I145" s="215"/>
      <c r="J145" s="215" t="s">
        <v>6</v>
      </c>
      <c r="Q145" s="117">
        <v>223613</v>
      </c>
      <c r="R145" s="19" t="s">
        <v>4765</v>
      </c>
      <c r="S145" s="19">
        <f>S144</f>
        <v>47</v>
      </c>
      <c r="T145" s="19" t="s">
        <v>4771</v>
      </c>
      <c r="U145" s="215">
        <v>4637.1000000000004</v>
      </c>
      <c r="V145" s="99">
        <f t="shared" si="32"/>
        <v>4856.2252076712339</v>
      </c>
      <c r="W145" s="32">
        <f t="shared" si="28"/>
        <v>4953.3497118246587</v>
      </c>
      <c r="X145" s="32">
        <f t="shared" si="29"/>
        <v>5050.4742159780835</v>
      </c>
      <c r="AH145" s="20">
        <v>125</v>
      </c>
      <c r="AI145" s="117" t="s">
        <v>4905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6:44">
      <c r="M146">
        <v>236</v>
      </c>
      <c r="N146">
        <v>3</v>
      </c>
      <c r="O146">
        <f>M146*N146</f>
        <v>708</v>
      </c>
      <c r="Q146" s="117">
        <v>989631</v>
      </c>
      <c r="R146" s="19" t="s">
        <v>4765</v>
      </c>
      <c r="S146" s="19">
        <f>S145</f>
        <v>47</v>
      </c>
      <c r="T146" s="19" t="s">
        <v>4772</v>
      </c>
      <c r="U146" s="215">
        <v>3863</v>
      </c>
      <c r="V146" s="99">
        <f t="shared" si="32"/>
        <v>4045.5452712328774</v>
      </c>
      <c r="W146" s="32">
        <f t="shared" si="28"/>
        <v>4126.4561766575353</v>
      </c>
      <c r="X146" s="32">
        <f t="shared" si="29"/>
        <v>4207.3670820821926</v>
      </c>
      <c r="AH146" s="23">
        <v>126</v>
      </c>
      <c r="AI146" s="35" t="s">
        <v>4913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6:44">
      <c r="M147">
        <v>126</v>
      </c>
      <c r="N147">
        <v>1</v>
      </c>
      <c r="O147">
        <f>M147*N147</f>
        <v>126</v>
      </c>
      <c r="Q147" s="117">
        <v>5001091</v>
      </c>
      <c r="R147" s="19" t="s">
        <v>4775</v>
      </c>
      <c r="S147" s="19">
        <f>S146-1</f>
        <v>46</v>
      </c>
      <c r="T147" s="19" t="s">
        <v>4776</v>
      </c>
      <c r="U147" s="215">
        <v>3125</v>
      </c>
      <c r="V147" s="99">
        <f t="shared" si="32"/>
        <v>3270.2739726027398</v>
      </c>
      <c r="W147" s="32">
        <f t="shared" si="28"/>
        <v>3335.6794520547946</v>
      </c>
      <c r="X147" s="32">
        <f t="shared" si="29"/>
        <v>3401.0849315068494</v>
      </c>
      <c r="Y147" s="96"/>
      <c r="Z147" s="96"/>
      <c r="AH147" s="20">
        <v>127</v>
      </c>
      <c r="AI147" s="117" t="s">
        <v>4924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6:44">
      <c r="L148">
        <v>821</v>
      </c>
      <c r="M148">
        <v>590</v>
      </c>
      <c r="N148">
        <v>0</v>
      </c>
      <c r="O148" s="96">
        <f>M148*N148</f>
        <v>0</v>
      </c>
      <c r="Q148" s="117">
        <v>12497226</v>
      </c>
      <c r="R148" s="19" t="s">
        <v>4812</v>
      </c>
      <c r="S148" s="19">
        <f>S147-7</f>
        <v>39</v>
      </c>
      <c r="T148" s="19" t="s">
        <v>4816</v>
      </c>
      <c r="U148" s="215">
        <v>3307.5</v>
      </c>
      <c r="V148" s="99">
        <f t="shared" si="32"/>
        <v>3443.4971506849315</v>
      </c>
      <c r="W148" s="32">
        <f t="shared" si="28"/>
        <v>3512.36709369863</v>
      </c>
      <c r="X148" s="32">
        <f t="shared" si="29"/>
        <v>3581.237036712329</v>
      </c>
      <c r="Y148" s="96"/>
      <c r="Z148" s="96"/>
      <c r="AH148" s="99">
        <v>128</v>
      </c>
      <c r="AI148" s="113" t="s">
        <v>4938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6:44">
      <c r="Q149" s="117">
        <v>24695044</v>
      </c>
      <c r="R149" s="19" t="s">
        <v>4812</v>
      </c>
      <c r="S149" s="19">
        <f>S148</f>
        <v>39</v>
      </c>
      <c r="T149" s="19" t="s">
        <v>4817</v>
      </c>
      <c r="U149" s="215">
        <v>5249.5</v>
      </c>
      <c r="V149" s="99">
        <f t="shared" si="32"/>
        <v>5465.3479342465753</v>
      </c>
      <c r="W149" s="32">
        <f t="shared" si="28"/>
        <v>5574.6548929315068</v>
      </c>
      <c r="X149" s="32">
        <f t="shared" si="29"/>
        <v>5683.9618516164383</v>
      </c>
      <c r="Y149" s="96"/>
      <c r="Z149" s="96"/>
      <c r="AH149" s="99">
        <v>129</v>
      </c>
      <c r="AI149" s="113" t="s">
        <v>4967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6:44">
      <c r="J150" t="s">
        <v>25</v>
      </c>
      <c r="O150">
        <f>O146+O147+O148</f>
        <v>834</v>
      </c>
      <c r="Q150" s="117">
        <v>529210</v>
      </c>
      <c r="R150" s="19" t="s">
        <v>4812</v>
      </c>
      <c r="S150" s="19">
        <f>S149</f>
        <v>39</v>
      </c>
      <c r="T150" s="19" t="s">
        <v>4818</v>
      </c>
      <c r="U150" s="215">
        <v>4051</v>
      </c>
      <c r="V150" s="99">
        <f t="shared" si="32"/>
        <v>4217.5682410958907</v>
      </c>
      <c r="W150" s="32">
        <f t="shared" si="28"/>
        <v>4301.9196059178084</v>
      </c>
      <c r="X150" s="32">
        <f t="shared" si="29"/>
        <v>4386.2709707397262</v>
      </c>
      <c r="Y150" s="96"/>
      <c r="Z150" s="96"/>
      <c r="AA150" s="114"/>
      <c r="AC150" s="114"/>
      <c r="AD150" s="114"/>
      <c r="AH150" s="99">
        <v>130</v>
      </c>
      <c r="AI150" s="113" t="s">
        <v>4969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4974</v>
      </c>
      <c r="AP150" t="s">
        <v>25</v>
      </c>
    </row>
    <row r="151" spans="6:44">
      <c r="Q151" s="117">
        <v>5416530</v>
      </c>
      <c r="R151" s="19" t="s">
        <v>4824</v>
      </c>
      <c r="S151" s="19">
        <f>S150-1</f>
        <v>38</v>
      </c>
      <c r="T151" s="19" t="s">
        <v>4885</v>
      </c>
      <c r="U151" s="215">
        <v>5235</v>
      </c>
      <c r="V151" s="99">
        <f t="shared" si="32"/>
        <v>5446.2358356164386</v>
      </c>
      <c r="W151" s="32">
        <f t="shared" si="28"/>
        <v>5555.1605523287672</v>
      </c>
      <c r="X151" s="32">
        <f t="shared" si="29"/>
        <v>5664.0852690410966</v>
      </c>
      <c r="Y151" s="96"/>
      <c r="Z151" s="96"/>
      <c r="AA151" s="114"/>
      <c r="AC151" s="114"/>
      <c r="AH151" s="99">
        <v>131</v>
      </c>
      <c r="AI151" s="113" t="s">
        <v>4969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4973</v>
      </c>
    </row>
    <row r="152" spans="6:44">
      <c r="Q152" s="117">
        <v>153812</v>
      </c>
      <c r="R152" s="19" t="s">
        <v>4856</v>
      </c>
      <c r="S152" s="19">
        <f>S151-6</f>
        <v>32</v>
      </c>
      <c r="T152" s="19" t="s">
        <v>4857</v>
      </c>
      <c r="U152" s="215">
        <v>537.20000000000005</v>
      </c>
      <c r="V152" s="99">
        <f t="shared" si="32"/>
        <v>556.40379616438372</v>
      </c>
      <c r="W152" s="32">
        <f t="shared" si="28"/>
        <v>567.53187208767145</v>
      </c>
      <c r="X152" s="32">
        <f t="shared" si="29"/>
        <v>578.65994801095906</v>
      </c>
      <c r="Y152" s="96"/>
      <c r="Z152" s="96"/>
      <c r="AA152" s="114"/>
      <c r="AC152" s="114"/>
      <c r="AD152" s="114"/>
      <c r="AH152" s="99">
        <v>132</v>
      </c>
      <c r="AI152" s="113" t="s">
        <v>4992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6:44">
      <c r="Q153" s="117">
        <v>1837912</v>
      </c>
      <c r="R153" s="19" t="s">
        <v>4860</v>
      </c>
      <c r="S153" s="19">
        <f>S152-1</f>
        <v>31</v>
      </c>
      <c r="T153" s="19" t="s">
        <v>4861</v>
      </c>
      <c r="U153" s="215">
        <v>296.60000000000002</v>
      </c>
      <c r="V153" s="99">
        <f t="shared" si="32"/>
        <v>306.97531178082198</v>
      </c>
      <c r="W153" s="32">
        <f t="shared" si="28"/>
        <v>313.11481801643845</v>
      </c>
      <c r="X153" s="32">
        <f t="shared" si="29"/>
        <v>319.25432425205486</v>
      </c>
      <c r="Y153" s="96"/>
      <c r="Z153" s="96"/>
      <c r="AH153" s="99">
        <v>133</v>
      </c>
      <c r="AI153" s="113" t="s">
        <v>5032</v>
      </c>
      <c r="AJ153" s="113">
        <v>1400000</v>
      </c>
      <c r="AK153" s="99">
        <v>4</v>
      </c>
      <c r="AL153" s="20">
        <f t="shared" si="39"/>
        <v>4</v>
      </c>
      <c r="AM153" s="117">
        <f t="shared" si="40"/>
        <v>5600000</v>
      </c>
      <c r="AN153" s="20"/>
    </row>
    <row r="154" spans="6:44">
      <c r="Q154" s="117">
        <v>104025</v>
      </c>
      <c r="R154" s="19" t="s">
        <v>974</v>
      </c>
      <c r="S154" s="19">
        <f>S153-3</f>
        <v>28</v>
      </c>
      <c r="T154" s="19" t="s">
        <v>4878</v>
      </c>
      <c r="U154" s="215">
        <v>295</v>
      </c>
      <c r="V154" s="99">
        <f t="shared" si="32"/>
        <v>304.6404383561644</v>
      </c>
      <c r="W154" s="32">
        <f t="shared" si="28"/>
        <v>310.7332471232877</v>
      </c>
      <c r="X154" s="32">
        <f t="shared" si="29"/>
        <v>316.826055890411</v>
      </c>
      <c r="Y154" s="96"/>
      <c r="Z154" s="96"/>
      <c r="AH154" s="99">
        <v>134</v>
      </c>
      <c r="AI154" s="113" t="s">
        <v>5060</v>
      </c>
      <c r="AJ154" s="113">
        <v>1550000</v>
      </c>
      <c r="AK154" s="99">
        <v>1</v>
      </c>
      <c r="AL154" s="20">
        <f t="shared" si="39"/>
        <v>1</v>
      </c>
      <c r="AM154" s="117">
        <f t="shared" si="40"/>
        <v>1550000</v>
      </c>
      <c r="AN154" s="20"/>
    </row>
    <row r="155" spans="6:44">
      <c r="P155" s="114"/>
      <c r="Q155" s="117">
        <v>10926171</v>
      </c>
      <c r="R155" s="19" t="s">
        <v>4887</v>
      </c>
      <c r="S155" s="19">
        <f>S154-2</f>
        <v>26</v>
      </c>
      <c r="T155" s="19" t="s">
        <v>4889</v>
      </c>
      <c r="U155" s="215">
        <v>5355.4</v>
      </c>
      <c r="V155" s="99">
        <f t="shared" si="32"/>
        <v>5522.1950334246576</v>
      </c>
      <c r="W155" s="32">
        <f t="shared" si="28"/>
        <v>5632.638934093151</v>
      </c>
      <c r="X155" s="32">
        <f t="shared" si="29"/>
        <v>5743.0828347616443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6:44">
      <c r="Q156" s="117">
        <v>146418</v>
      </c>
      <c r="R156" s="19" t="s">
        <v>4890</v>
      </c>
      <c r="S156" s="19">
        <f>S155-1</f>
        <v>25</v>
      </c>
      <c r="T156" s="19" t="s">
        <v>4891</v>
      </c>
      <c r="U156" s="215">
        <v>304.89999999999998</v>
      </c>
      <c r="V156" s="99">
        <f t="shared" si="32"/>
        <v>314.16227726027398</v>
      </c>
      <c r="W156" s="32">
        <f t="shared" si="28"/>
        <v>320.44552280547947</v>
      </c>
      <c r="X156" s="32">
        <f t="shared" si="29"/>
        <v>326.72876835068496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6:44">
      <c r="Q157" s="169">
        <v>101344</v>
      </c>
      <c r="R157" s="215" t="s">
        <v>4913</v>
      </c>
      <c r="S157" s="215">
        <f>S156-5</f>
        <v>20</v>
      </c>
      <c r="T157" s="215" t="s">
        <v>4916</v>
      </c>
      <c r="U157" s="215">
        <v>113.6</v>
      </c>
      <c r="V157" s="99">
        <f t="shared" ref="V157:V172" si="41">U157*(1+$N$93+$Q$15*S157/36500)</f>
        <v>116.61522410958905</v>
      </c>
      <c r="W157" s="32">
        <f t="shared" si="28"/>
        <v>118.94752859178084</v>
      </c>
      <c r="X157" s="32">
        <f t="shared" si="29"/>
        <v>121.27983307397261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6:44">
      <c r="Q158" s="169">
        <v>2148718</v>
      </c>
      <c r="R158" s="215" t="s">
        <v>4913</v>
      </c>
      <c r="S158" s="215">
        <f>S157</f>
        <v>20</v>
      </c>
      <c r="T158" s="215" t="s">
        <v>4917</v>
      </c>
      <c r="U158" s="215">
        <v>3400.3</v>
      </c>
      <c r="V158" s="99">
        <f t="shared" si="41"/>
        <v>3490.5523463013706</v>
      </c>
      <c r="W158" s="32">
        <f t="shared" si="28"/>
        <v>3560.3633932273979</v>
      </c>
      <c r="X158" s="32">
        <f t="shared" si="29"/>
        <v>3630.1744401534256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6:44">
      <c r="Q159" s="169">
        <v>119669</v>
      </c>
      <c r="R159" s="215" t="s">
        <v>981</v>
      </c>
      <c r="S159" s="215">
        <f>S158-2</f>
        <v>18</v>
      </c>
      <c r="T159" s="215" t="s">
        <v>4934</v>
      </c>
      <c r="U159" s="215">
        <v>3609.6</v>
      </c>
      <c r="V159" s="99">
        <f t="shared" si="41"/>
        <v>3699.8696679452055</v>
      </c>
      <c r="W159" s="32">
        <f t="shared" si="28"/>
        <v>3773.8670613041095</v>
      </c>
      <c r="X159" s="32">
        <f t="shared" si="29"/>
        <v>3847.8644546630139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6:44">
      <c r="P160" s="114"/>
      <c r="Q160" s="169">
        <v>102362</v>
      </c>
      <c r="R160" s="215" t="s">
        <v>4938</v>
      </c>
      <c r="S160" s="215">
        <f>S159-8</f>
        <v>10</v>
      </c>
      <c r="T160" s="215" t="s">
        <v>4941</v>
      </c>
      <c r="U160" s="215">
        <v>4430</v>
      </c>
      <c r="V160" s="99">
        <f t="shared" si="41"/>
        <v>4513.5995616438358</v>
      </c>
      <c r="W160" s="32">
        <f t="shared" si="28"/>
        <v>4603.8715528767125</v>
      </c>
      <c r="X160" s="32">
        <f t="shared" si="29"/>
        <v>4694.1435441095891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996877</v>
      </c>
      <c r="R161" s="215" t="s">
        <v>4967</v>
      </c>
      <c r="S161" s="215">
        <f>S160-10</f>
        <v>0</v>
      </c>
      <c r="T161" s="215" t="s">
        <v>4968</v>
      </c>
      <c r="U161" s="215">
        <v>4469.7</v>
      </c>
      <c r="V161" s="99">
        <f t="shared" si="41"/>
        <v>4519.7606400000004</v>
      </c>
      <c r="W161" s="32">
        <f t="shared" si="28"/>
        <v>4610.1558528000005</v>
      </c>
      <c r="X161" s="32">
        <f t="shared" si="29"/>
        <v>4700.5510656000006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17086367</v>
      </c>
      <c r="R162" s="215" t="s">
        <v>4969</v>
      </c>
      <c r="S162" s="215">
        <f>S161-1</f>
        <v>-1</v>
      </c>
      <c r="T162" s="215" t="s">
        <v>4977</v>
      </c>
      <c r="U162" s="215">
        <v>3751.1</v>
      </c>
      <c r="V162" s="99">
        <f t="shared" si="41"/>
        <v>3790.2347638356168</v>
      </c>
      <c r="W162" s="32">
        <f t="shared" si="28"/>
        <v>3866.039459112329</v>
      </c>
      <c r="X162" s="32">
        <f t="shared" si="29"/>
        <v>3941.8441543890417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Q163" s="169">
        <v>26970108</v>
      </c>
      <c r="R163" s="215" t="s">
        <v>4969</v>
      </c>
      <c r="S163" s="215">
        <f>S162</f>
        <v>-1</v>
      </c>
      <c r="T163" s="215" t="s">
        <v>4978</v>
      </c>
      <c r="U163" s="215">
        <v>6110.2</v>
      </c>
      <c r="V163" s="99">
        <f t="shared" si="41"/>
        <v>6173.9469632876726</v>
      </c>
      <c r="W163" s="32">
        <f t="shared" si="28"/>
        <v>6297.4259025534266</v>
      </c>
      <c r="X163" s="32">
        <f t="shared" si="29"/>
        <v>6420.9048418191796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Q164" s="169">
        <v>27144082</v>
      </c>
      <c r="R164" s="215" t="s">
        <v>4969</v>
      </c>
      <c r="S164" s="215">
        <f>S163</f>
        <v>-1</v>
      </c>
      <c r="T164" s="215" t="s">
        <v>4979</v>
      </c>
      <c r="U164" s="215">
        <v>4568.6000000000004</v>
      </c>
      <c r="V164" s="99">
        <f t="shared" si="41"/>
        <v>4616.2636405479461</v>
      </c>
      <c r="W164" s="32">
        <f t="shared" si="28"/>
        <v>4708.5889133589053</v>
      </c>
      <c r="X164" s="32">
        <f t="shared" si="29"/>
        <v>4800.9141861698645</v>
      </c>
      <c r="AH164" s="99"/>
      <c r="AI164" s="113"/>
      <c r="AJ164" s="113"/>
      <c r="AK164" s="99"/>
      <c r="AL164" s="99">
        <f t="shared" si="33"/>
        <v>0</v>
      </c>
      <c r="AM164" s="117">
        <f t="shared" si="31"/>
        <v>0</v>
      </c>
      <c r="AN164" s="99"/>
    </row>
    <row r="165" spans="6:40">
      <c r="Q165" s="169">
        <v>6150141</v>
      </c>
      <c r="R165" s="215" t="s">
        <v>4969</v>
      </c>
      <c r="S165" s="215">
        <f>S164</f>
        <v>-1</v>
      </c>
      <c r="T165" s="215" t="s">
        <v>4980</v>
      </c>
      <c r="U165" s="215">
        <v>180.6</v>
      </c>
      <c r="V165" s="99">
        <f t="shared" si="41"/>
        <v>182.48417753424661</v>
      </c>
      <c r="W165" s="32">
        <f t="shared" si="28"/>
        <v>186.13386108493154</v>
      </c>
      <c r="X165" s="32">
        <f t="shared" si="29"/>
        <v>189.78354463561649</v>
      </c>
      <c r="AH165" s="99"/>
      <c r="AI165" s="99"/>
      <c r="AJ165" s="95">
        <f>SUM(AJ20:AJ164)</f>
        <v>579514113</v>
      </c>
      <c r="AK165" s="99"/>
      <c r="AL165" s="99"/>
      <c r="AM165" s="95">
        <f>SUM(AM20:AM164)</f>
        <v>64740962117</v>
      </c>
      <c r="AN165" s="95">
        <f>AM165*AN168/31</f>
        <v>34807665.019485138</v>
      </c>
    </row>
    <row r="166" spans="6:40">
      <c r="F166" t="s">
        <v>4894</v>
      </c>
      <c r="G166">
        <v>1200</v>
      </c>
      <c r="H166" t="s">
        <v>4895</v>
      </c>
      <c r="Q166" s="169">
        <v>1664165</v>
      </c>
      <c r="R166" s="215" t="s">
        <v>4983</v>
      </c>
      <c r="S166" s="215">
        <f>S165-1</f>
        <v>-2</v>
      </c>
      <c r="T166" s="215" t="s">
        <v>4987</v>
      </c>
      <c r="U166" s="215">
        <v>4429.1000000000004</v>
      </c>
      <c r="V166" s="99">
        <f t="shared" si="41"/>
        <v>4471.9105884931514</v>
      </c>
      <c r="W166" s="32">
        <f t="shared" si="28"/>
        <v>4561.3488002630147</v>
      </c>
      <c r="X166" s="32">
        <f t="shared" si="29"/>
        <v>4650.787012032878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G167">
        <v>1350</v>
      </c>
      <c r="H167" t="s">
        <v>4896</v>
      </c>
      <c r="Q167" s="169">
        <v>2521445</v>
      </c>
      <c r="R167" s="215" t="s">
        <v>4992</v>
      </c>
      <c r="S167" s="215">
        <f>S166-5</f>
        <v>-7</v>
      </c>
      <c r="T167" s="215" t="s">
        <v>4995</v>
      </c>
      <c r="U167" s="215">
        <v>4450</v>
      </c>
      <c r="V167" s="99">
        <f t="shared" si="41"/>
        <v>4475.9441095890415</v>
      </c>
      <c r="W167" s="32">
        <f t="shared" si="28"/>
        <v>4565.4629917808224</v>
      </c>
      <c r="X167" s="32">
        <f t="shared" si="29"/>
        <v>4654.9818739726034</v>
      </c>
      <c r="AH167" s="99"/>
      <c r="AI167" s="99"/>
      <c r="AJ167" s="99"/>
      <c r="AK167" s="99"/>
      <c r="AL167" s="99"/>
      <c r="AM167" s="99"/>
      <c r="AN167" s="99"/>
    </row>
    <row r="168" spans="6:40">
      <c r="G168">
        <v>1050</v>
      </c>
      <c r="H168" t="s">
        <v>4897</v>
      </c>
      <c r="Q168" s="169">
        <v>162112</v>
      </c>
      <c r="R168" s="215" t="s">
        <v>4998</v>
      </c>
      <c r="S168" s="215">
        <f>S167-1</f>
        <v>-8</v>
      </c>
      <c r="T168" s="215" t="s">
        <v>5001</v>
      </c>
      <c r="U168" s="215">
        <v>632.79999999999995</v>
      </c>
      <c r="V168" s="99">
        <f t="shared" si="41"/>
        <v>636.00387506849324</v>
      </c>
      <c r="W168" s="32">
        <f t="shared" si="28"/>
        <v>648.72395256986317</v>
      </c>
      <c r="X168" s="32">
        <f t="shared" si="29"/>
        <v>661.44403007123299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P169" s="114"/>
      <c r="Q169" s="169">
        <v>1399908</v>
      </c>
      <c r="R169" s="215" t="s">
        <v>5055</v>
      </c>
      <c r="S169" s="215">
        <f>S168-13</f>
        <v>-21</v>
      </c>
      <c r="T169" s="215" t="s">
        <v>5056</v>
      </c>
      <c r="U169" s="215">
        <v>194</v>
      </c>
      <c r="V169" s="99">
        <f t="shared" si="41"/>
        <v>193.0475397260274</v>
      </c>
      <c r="W169" s="32">
        <f t="shared" si="28"/>
        <v>196.90849052054796</v>
      </c>
      <c r="X169" s="32">
        <f t="shared" si="29"/>
        <v>200.76944131506849</v>
      </c>
      <c r="AH169" s="99"/>
      <c r="AI169" s="99"/>
      <c r="AJ169" s="99"/>
      <c r="AK169" s="99"/>
      <c r="AL169" s="99"/>
      <c r="AM169" s="99"/>
      <c r="AN169" s="99"/>
    </row>
    <row r="170" spans="6:40">
      <c r="P170" s="114"/>
      <c r="Q170" s="169">
        <v>1081896</v>
      </c>
      <c r="R170" s="215" t="s">
        <v>5060</v>
      </c>
      <c r="S170" s="215">
        <f>S169-2</f>
        <v>-23</v>
      </c>
      <c r="T170" s="215" t="s">
        <v>5063</v>
      </c>
      <c r="U170" s="215">
        <v>220</v>
      </c>
      <c r="V170" s="99">
        <f t="shared" si="41"/>
        <v>218.58235616438358</v>
      </c>
      <c r="W170" s="32">
        <f t="shared" si="28"/>
        <v>222.95400328767127</v>
      </c>
      <c r="X170" s="32">
        <f t="shared" si="29"/>
        <v>227.32565041095893</v>
      </c>
      <c r="AH170" s="99"/>
      <c r="AI170" s="99" t="s">
        <v>4061</v>
      </c>
      <c r="AJ170" s="95">
        <f>AJ165+AN165</f>
        <v>614321778.01948512</v>
      </c>
      <c r="AK170" s="99"/>
      <c r="AL170" s="99"/>
      <c r="AM170" s="99"/>
      <c r="AN170" s="99"/>
    </row>
    <row r="171" spans="6:40">
      <c r="Q171" s="169">
        <v>466793</v>
      </c>
      <c r="R171" s="215" t="s">
        <v>5064</v>
      </c>
      <c r="S171" s="215">
        <f>S170-1</f>
        <v>-24</v>
      </c>
      <c r="T171" s="215" t="s">
        <v>5066</v>
      </c>
      <c r="U171" s="215">
        <v>4005.5</v>
      </c>
      <c r="V171" s="99">
        <f t="shared" si="41"/>
        <v>3976.6165041095892</v>
      </c>
      <c r="W171" s="32">
        <f t="shared" si="28"/>
        <v>4056.1488341917811</v>
      </c>
      <c r="X171" s="32">
        <f t="shared" si="29"/>
        <v>4135.6811642739731</v>
      </c>
      <c r="AI171" t="s">
        <v>4064</v>
      </c>
      <c r="AJ171" s="114">
        <f>SUM(N46:N62)</f>
        <v>763578162.70000005</v>
      </c>
    </row>
    <row r="172" spans="6:40">
      <c r="Q172" s="169"/>
      <c r="R172" s="168"/>
      <c r="S172" s="168"/>
      <c r="T172" s="168"/>
      <c r="U172" s="168"/>
      <c r="V172" s="99">
        <f t="shared" si="41"/>
        <v>0</v>
      </c>
      <c r="W172" s="32">
        <f t="shared" si="28"/>
        <v>0</v>
      </c>
      <c r="X172" s="32">
        <f t="shared" si="29"/>
        <v>0</v>
      </c>
      <c r="AI172" t="s">
        <v>4136</v>
      </c>
      <c r="AJ172" s="114">
        <f>AJ171-AJ165</f>
        <v>184064049.70000005</v>
      </c>
      <c r="AM172" t="s">
        <v>25</v>
      </c>
    </row>
    <row r="173" spans="6:40">
      <c r="Q173" s="113">
        <f>SUM(N48:N62)-SUM(Q93:Q172)</f>
        <v>116851518.70000005</v>
      </c>
      <c r="R173" s="112"/>
      <c r="S173" s="112"/>
      <c r="T173" s="112"/>
      <c r="U173" s="168"/>
      <c r="V173" s="99" t="s">
        <v>25</v>
      </c>
      <c r="W173" s="32"/>
      <c r="X173" s="32"/>
      <c r="Y173" t="s">
        <v>25</v>
      </c>
      <c r="AI173" t="s">
        <v>943</v>
      </c>
      <c r="AJ173" s="114">
        <f>AN165</f>
        <v>34807665.019485138</v>
      </c>
      <c r="AN173" t="s">
        <v>25</v>
      </c>
    </row>
    <row r="174" spans="6:40">
      <c r="P174" s="114"/>
      <c r="Q174" s="26"/>
      <c r="R174" s="181"/>
      <c r="S174" s="181"/>
      <c r="T174" t="s">
        <v>25</v>
      </c>
      <c r="U174" s="96" t="s">
        <v>25</v>
      </c>
      <c r="V174" s="96" t="s">
        <v>25</v>
      </c>
      <c r="W174" s="96" t="s">
        <v>25</v>
      </c>
      <c r="AI174" t="s">
        <v>4065</v>
      </c>
      <c r="AJ174" s="114">
        <f>AJ171-AJ170</f>
        <v>149256384.68051493</v>
      </c>
      <c r="AN174" t="s">
        <v>25</v>
      </c>
    </row>
    <row r="175" spans="6:40">
      <c r="R175" s="32" t="s">
        <v>4573</v>
      </c>
      <c r="S175" s="32" t="s">
        <v>950</v>
      </c>
      <c r="T175" t="s">
        <v>25</v>
      </c>
      <c r="U175" s="96" t="s">
        <v>25</v>
      </c>
      <c r="V175" s="96" t="s">
        <v>25</v>
      </c>
      <c r="W175" s="96" t="s">
        <v>25</v>
      </c>
      <c r="X175" s="122" t="s">
        <v>25</v>
      </c>
      <c r="Y175" t="s">
        <v>25</v>
      </c>
      <c r="AM175" t="s">
        <v>25</v>
      </c>
    </row>
    <row r="176" spans="6:40">
      <c r="P176" s="114"/>
      <c r="R176" s="32">
        <v>2480</v>
      </c>
      <c r="S176" s="237">
        <v>13041741</v>
      </c>
      <c r="U176" s="96" t="s">
        <v>25</v>
      </c>
      <c r="V176" s="122" t="s">
        <v>25</v>
      </c>
      <c r="W176" s="96" t="s">
        <v>25</v>
      </c>
      <c r="X176" t="s">
        <v>25</v>
      </c>
      <c r="AJ176" t="s">
        <v>25</v>
      </c>
    </row>
    <row r="177" spans="15:44">
      <c r="O177" s="96"/>
      <c r="P177" s="114"/>
      <c r="Q177" t="s">
        <v>25</v>
      </c>
      <c r="R177" s="32">
        <v>1450</v>
      </c>
      <c r="S177" s="1">
        <f>S176*R177/R176</f>
        <v>7625211.4717741935</v>
      </c>
      <c r="U177" s="96" t="s">
        <v>25</v>
      </c>
      <c r="V177" s="122" t="s">
        <v>25</v>
      </c>
      <c r="W177" s="96" t="s">
        <v>25</v>
      </c>
      <c r="X177" t="s">
        <v>25</v>
      </c>
    </row>
    <row r="178" spans="15:44">
      <c r="O178" s="96"/>
      <c r="R178" s="32">
        <f>R176-R177</f>
        <v>1030</v>
      </c>
      <c r="S178" s="1">
        <f>R178*S176/R176</f>
        <v>5416529.5282258065</v>
      </c>
      <c r="V178" s="96"/>
      <c r="W178"/>
      <c r="X178" t="s">
        <v>25</v>
      </c>
    </row>
    <row r="179" spans="15:44">
      <c r="V179" s="96"/>
      <c r="W179"/>
      <c r="X179" t="s">
        <v>25</v>
      </c>
    </row>
    <row r="180" spans="15:44">
      <c r="Q180" s="99" t="s">
        <v>4463</v>
      </c>
      <c r="R180" s="99" t="s">
        <v>4465</v>
      </c>
      <c r="S180" s="99"/>
      <c r="T180" s="99" t="s">
        <v>4466</v>
      </c>
      <c r="U180" s="99"/>
      <c r="V180" s="99"/>
      <c r="W180" s="99" t="s">
        <v>4576</v>
      </c>
    </row>
    <row r="181" spans="15:44">
      <c r="Q181" s="113">
        <v>1000</v>
      </c>
      <c r="R181" s="99">
        <v>0.25</v>
      </c>
      <c r="S181" s="99"/>
      <c r="T181" s="99">
        <f>1-R181</f>
        <v>0.75</v>
      </c>
      <c r="U181" s="99"/>
      <c r="V181" s="99"/>
      <c r="W181" s="99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5:44">
      <c r="Q182" s="168" t="s">
        <v>4450</v>
      </c>
      <c r="R182" s="168" t="s">
        <v>4468</v>
      </c>
      <c r="S182" s="168" t="s">
        <v>4470</v>
      </c>
      <c r="T182" s="168"/>
      <c r="U182" s="168" t="s">
        <v>4464</v>
      </c>
      <c r="V182" s="56" t="s">
        <v>4467</v>
      </c>
      <c r="W182" s="99"/>
      <c r="X182" s="115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284</v>
      </c>
      <c r="AM182" s="99">
        <f>AJ182*AL182</f>
        <v>1009852880</v>
      </c>
      <c r="AN182" s="99" t="s">
        <v>4313</v>
      </c>
      <c r="AR182" t="s">
        <v>25</v>
      </c>
    </row>
    <row r="183" spans="15:44">
      <c r="Q183" s="168" t="s">
        <v>751</v>
      </c>
      <c r="R183" s="56">
        <v>1722368</v>
      </c>
      <c r="S183" s="113">
        <f>R183*$T$265</f>
        <v>554970939.99215281</v>
      </c>
      <c r="T183" s="168"/>
      <c r="U183" s="168">
        <f>$Q$181*$T$181*S183/$R$207</f>
        <v>363.1752872028236</v>
      </c>
      <c r="V183" s="95">
        <f>S183+U183</f>
        <v>554971303.16744006</v>
      </c>
      <c r="W183" s="99">
        <f>R183*100/U262</f>
        <v>48.423371627043146</v>
      </c>
      <c r="X183" s="219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282</v>
      </c>
      <c r="AM183" s="99">
        <f t="shared" ref="AM183:AM211" si="43">AJ183*AL183</f>
        <v>485276034</v>
      </c>
      <c r="AN183" s="99" t="s">
        <v>4314</v>
      </c>
    </row>
    <row r="184" spans="15:44">
      <c r="P184">
        <f>R184+162</f>
        <v>1685151</v>
      </c>
      <c r="Q184" s="168" t="s">
        <v>4452</v>
      </c>
      <c r="R184" s="56">
        <v>1684989</v>
      </c>
      <c r="S184" s="113">
        <f>R184*$T$265</f>
        <v>542926905.98434103</v>
      </c>
      <c r="T184" s="168"/>
      <c r="U184" s="215">
        <f>$Q$181*$T$181*S184/$R$207</f>
        <v>355.29362134491498</v>
      </c>
      <c r="V184" s="95">
        <f t="shared" ref="V184:V185" si="44">S184+U184</f>
        <v>542927261.27796233</v>
      </c>
      <c r="W184" s="99">
        <f>R184*100/U262</f>
        <v>47.372482845988664</v>
      </c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231</v>
      </c>
      <c r="AM184" s="99">
        <f t="shared" si="43"/>
        <v>34650000</v>
      </c>
      <c r="AN184" s="99"/>
    </row>
    <row r="185" spans="15:44">
      <c r="Q185" s="168" t="s">
        <v>4451</v>
      </c>
      <c r="R185" s="56">
        <v>47604</v>
      </c>
      <c r="S185" s="113">
        <f>R185*$T$265</f>
        <v>15338671.310304442</v>
      </c>
      <c r="T185" s="168"/>
      <c r="U185" s="215">
        <f>$Q$181*$T$181*S185/$R$207</f>
        <v>10.037690187000232</v>
      </c>
      <c r="V185" s="95">
        <f t="shared" si="44"/>
        <v>15338681.347994629</v>
      </c>
      <c r="W185" s="99">
        <f>R185*100/U262</f>
        <v>1.3383586916000307</v>
      </c>
      <c r="X185" s="115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228</v>
      </c>
      <c r="AM185" s="99">
        <f t="shared" si="43"/>
        <v>-21660000</v>
      </c>
      <c r="AN185" s="99"/>
    </row>
    <row r="186" spans="15:44">
      <c r="Q186" s="168" t="s">
        <v>1087</v>
      </c>
      <c r="R186" s="56">
        <v>101933</v>
      </c>
      <c r="S186" s="113">
        <f>R186*$T$265</f>
        <v>32844231.213201888</v>
      </c>
      <c r="T186" s="168"/>
      <c r="U186" s="215">
        <f>$Q$181*$T$181*S186/$R$207</f>
        <v>21.493401265261209</v>
      </c>
      <c r="V186" s="95">
        <f>S186+U186</f>
        <v>32844252.706603155</v>
      </c>
      <c r="W186" s="99">
        <f>R186*100/U262</f>
        <v>2.8657868353681613</v>
      </c>
      <c r="X186" s="115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220</v>
      </c>
      <c r="AM186" s="99">
        <f t="shared" si="43"/>
        <v>693000000</v>
      </c>
      <c r="AN186" s="99"/>
    </row>
    <row r="187" spans="15:44">
      <c r="Q187" s="168"/>
      <c r="R187" s="56"/>
      <c r="S187" s="168"/>
      <c r="T187" s="168"/>
      <c r="U187" s="168"/>
      <c r="V187" s="168"/>
      <c r="W187" s="99"/>
      <c r="X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204</v>
      </c>
      <c r="AM187" s="99">
        <f t="shared" si="43"/>
        <v>-13260000</v>
      </c>
      <c r="AN187" s="99"/>
    </row>
    <row r="188" spans="15:44">
      <c r="Q188" s="168"/>
      <c r="R188" s="168"/>
      <c r="S188" s="168"/>
      <c r="T188" s="168"/>
      <c r="U188" s="168"/>
      <c r="V188" s="168"/>
      <c r="W188" s="99"/>
      <c r="X188" s="96"/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203</v>
      </c>
      <c r="AM188" s="99">
        <f t="shared" si="43"/>
        <v>-19285000</v>
      </c>
      <c r="AN188" s="99"/>
    </row>
    <row r="189" spans="15:44">
      <c r="Q189" s="99"/>
      <c r="R189" s="99"/>
      <c r="S189" s="99"/>
      <c r="T189" s="99" t="s">
        <v>25</v>
      </c>
      <c r="U189" s="99"/>
      <c r="V189" s="99"/>
      <c r="W189" s="99"/>
      <c r="X189" s="96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197</v>
      </c>
      <c r="AM189" s="99">
        <f t="shared" si="43"/>
        <v>45704000</v>
      </c>
      <c r="AN189" s="99"/>
    </row>
    <row r="190" spans="15:44">
      <c r="Q190" s="99"/>
      <c r="R190" s="99"/>
      <c r="S190" s="99"/>
      <c r="T190" s="99"/>
      <c r="U190" s="99"/>
      <c r="V190" s="99"/>
      <c r="W190" s="99"/>
      <c r="X190" s="96"/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190</v>
      </c>
      <c r="AM190" s="99">
        <f t="shared" si="43"/>
        <v>2470000000</v>
      </c>
      <c r="AN190" s="99"/>
    </row>
    <row r="191" spans="15:44">
      <c r="Q191" s="99"/>
      <c r="R191" s="99"/>
      <c r="S191" s="99"/>
      <c r="T191" s="99"/>
      <c r="U191" s="99"/>
      <c r="V191" s="99"/>
      <c r="W191" s="99"/>
      <c r="X191" s="96"/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188</v>
      </c>
      <c r="AM191" s="99">
        <f t="shared" si="43"/>
        <v>1880000000</v>
      </c>
      <c r="AN191" s="99"/>
    </row>
    <row r="192" spans="15:44">
      <c r="Q192" s="96"/>
      <c r="R192" s="96"/>
      <c r="S192" s="96"/>
      <c r="T192" s="96"/>
      <c r="V192" s="96"/>
      <c r="X192" s="115"/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185</v>
      </c>
      <c r="AM192" s="99">
        <f t="shared" si="43"/>
        <v>629000000</v>
      </c>
      <c r="AN192" s="99"/>
    </row>
    <row r="193" spans="16:44">
      <c r="Q193" s="96"/>
      <c r="R193" s="96"/>
      <c r="S193" s="96"/>
      <c r="T193" s="96"/>
      <c r="V193" s="96"/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176</v>
      </c>
      <c r="AM193" s="99">
        <f t="shared" si="43"/>
        <v>-1537626464</v>
      </c>
      <c r="AN193" s="99"/>
    </row>
    <row r="194" spans="16:44">
      <c r="Q194" s="96"/>
      <c r="R194" s="96"/>
      <c r="S194" s="96"/>
      <c r="T194" s="96" t="s">
        <v>25</v>
      </c>
      <c r="V194" s="96"/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5">AK194+AL195</f>
        <v>175</v>
      </c>
      <c r="AM194" s="99">
        <f t="shared" si="43"/>
        <v>97125000</v>
      </c>
      <c r="AN194" s="99"/>
    </row>
    <row r="195" spans="16:44">
      <c r="Q195" s="96"/>
      <c r="R195" s="96"/>
      <c r="S195" s="96"/>
      <c r="T195" s="96"/>
      <c r="V195" s="96"/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5"/>
        <v>170</v>
      </c>
      <c r="AM195" s="99">
        <f t="shared" si="43"/>
        <v>-76212360</v>
      </c>
      <c r="AN195" s="99"/>
    </row>
    <row r="196" spans="16:44">
      <c r="Q196" s="96"/>
      <c r="R196" s="96"/>
      <c r="S196" s="96"/>
      <c r="T196" s="99" t="s">
        <v>180</v>
      </c>
      <c r="U196" s="99" t="s">
        <v>4486</v>
      </c>
      <c r="V196" s="99" t="s">
        <v>4487</v>
      </c>
      <c r="W196" s="99" t="s">
        <v>4497</v>
      </c>
      <c r="X196" s="99" t="s">
        <v>8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5"/>
        <v>164</v>
      </c>
      <c r="AM196" s="99">
        <f t="shared" si="43"/>
        <v>5448900</v>
      </c>
      <c r="AN196" s="99"/>
    </row>
    <row r="197" spans="16:44">
      <c r="Q197" s="36" t="s">
        <v>4572</v>
      </c>
      <c r="R197" s="95">
        <f>SUM(N48:N62)</f>
        <v>763576690.70000005</v>
      </c>
      <c r="T197" s="113" t="s">
        <v>4462</v>
      </c>
      <c r="U197" s="56">
        <v>1000000</v>
      </c>
      <c r="V197" s="113">
        <v>239.024</v>
      </c>
      <c r="W197" s="113">
        <f t="shared" ref="W197:W260" si="46">U197*V197</f>
        <v>239024000</v>
      </c>
      <c r="X197" s="99"/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5"/>
        <v>164</v>
      </c>
      <c r="AM197" s="149">
        <f t="shared" si="43"/>
        <v>672157772</v>
      </c>
      <c r="AN197" s="149" t="s">
        <v>657</v>
      </c>
    </row>
    <row r="198" spans="16:44">
      <c r="Q198" s="99" t="s">
        <v>4453</v>
      </c>
      <c r="R198" s="95">
        <f>SUM(N21:N27)</f>
        <v>340847452.10000002</v>
      </c>
      <c r="T198" s="168" t="s">
        <v>4444</v>
      </c>
      <c r="U198" s="56">
        <v>5904</v>
      </c>
      <c r="V198" s="113">
        <v>237.148</v>
      </c>
      <c r="W198" s="113">
        <f t="shared" si="46"/>
        <v>1400121.7919999999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5"/>
        <v>162</v>
      </c>
      <c r="AM198" s="149">
        <f t="shared" si="43"/>
        <v>-162000000</v>
      </c>
      <c r="AN198" s="149" t="s">
        <v>657</v>
      </c>
    </row>
    <row r="199" spans="16:44">
      <c r="Q199" s="99" t="s">
        <v>4454</v>
      </c>
      <c r="R199" s="95">
        <f>SUM(N30:N35)</f>
        <v>41460313.700000003</v>
      </c>
      <c r="T199" s="168" t="s">
        <v>4232</v>
      </c>
      <c r="U199" s="168">
        <v>1000</v>
      </c>
      <c r="V199" s="113">
        <v>247.393</v>
      </c>
      <c r="W199" s="113">
        <f t="shared" si="46"/>
        <v>247393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5"/>
        <v>155</v>
      </c>
      <c r="AM199" s="149">
        <f t="shared" si="43"/>
        <v>116250000</v>
      </c>
      <c r="AN199" s="149" t="s">
        <v>657</v>
      </c>
      <c r="AQ199" t="s">
        <v>25</v>
      </c>
    </row>
    <row r="200" spans="16:44">
      <c r="Q200" s="99" t="s">
        <v>4455</v>
      </c>
      <c r="R200" s="95">
        <f>N46</f>
        <v>1472</v>
      </c>
      <c r="T200" s="168" t="s">
        <v>4498</v>
      </c>
      <c r="U200" s="168">
        <v>8071</v>
      </c>
      <c r="V200" s="113">
        <v>247.797</v>
      </c>
      <c r="W200" s="113">
        <f t="shared" si="46"/>
        <v>1999969.5870000001</v>
      </c>
      <c r="X200" s="99" t="s">
        <v>4451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5"/>
        <v>154</v>
      </c>
      <c r="AM200" s="196">
        <f t="shared" si="43"/>
        <v>-93039408</v>
      </c>
      <c r="AN200" s="196" t="s">
        <v>657</v>
      </c>
    </row>
    <row r="201" spans="16:44">
      <c r="Q201" s="99" t="s">
        <v>4456</v>
      </c>
      <c r="R201" s="95">
        <f>N20</f>
        <v>1806</v>
      </c>
      <c r="T201" s="168" t="s">
        <v>4498</v>
      </c>
      <c r="U201" s="168">
        <v>53672</v>
      </c>
      <c r="V201" s="113">
        <v>247.797</v>
      </c>
      <c r="W201" s="113">
        <f t="shared" si="46"/>
        <v>13299760.584000001</v>
      </c>
      <c r="X201" s="99" t="s">
        <v>452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5"/>
        <v>154</v>
      </c>
      <c r="AM201" s="99">
        <f t="shared" si="43"/>
        <v>-90410782</v>
      </c>
      <c r="AN201" s="99"/>
    </row>
    <row r="202" spans="16:44">
      <c r="Q202" s="99" t="s">
        <v>4457</v>
      </c>
      <c r="R202" s="95">
        <f>N29</f>
        <v>1739</v>
      </c>
      <c r="T202" s="168" t="s">
        <v>4506</v>
      </c>
      <c r="U202" s="168">
        <v>4099</v>
      </c>
      <c r="V202" s="113">
        <v>243.93</v>
      </c>
      <c r="W202" s="113">
        <f t="shared" si="46"/>
        <v>999869.07000000007</v>
      </c>
      <c r="X202" s="99" t="s">
        <v>4451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5"/>
        <v>150</v>
      </c>
      <c r="AM202" s="196">
        <f t="shared" si="43"/>
        <v>-113152650</v>
      </c>
      <c r="AN202" s="196" t="s">
        <v>657</v>
      </c>
      <c r="AR202" t="s">
        <v>25</v>
      </c>
    </row>
    <row r="203" spans="16:44">
      <c r="Q203" s="99" t="s">
        <v>4469</v>
      </c>
      <c r="R203" s="95">
        <v>0</v>
      </c>
      <c r="T203" s="168" t="s">
        <v>4506</v>
      </c>
      <c r="U203" s="168">
        <v>9301</v>
      </c>
      <c r="V203" s="113">
        <v>243.93</v>
      </c>
      <c r="W203" s="113">
        <f t="shared" si="46"/>
        <v>2268792.9300000002</v>
      </c>
      <c r="X203" s="99" t="s">
        <v>452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5"/>
        <v>150</v>
      </c>
      <c r="AM203" s="99">
        <f t="shared" si="43"/>
        <v>-28442850</v>
      </c>
      <c r="AN203" s="99"/>
    </row>
    <row r="204" spans="16:44">
      <c r="P204" s="96"/>
      <c r="Q204" s="99" t="s">
        <v>5033</v>
      </c>
      <c r="R204" s="95">
        <v>0</v>
      </c>
      <c r="T204" s="168" t="s">
        <v>4512</v>
      </c>
      <c r="U204" s="168">
        <v>8334</v>
      </c>
      <c r="V204" s="113">
        <v>239.97</v>
      </c>
      <c r="W204" s="113">
        <f t="shared" si="46"/>
        <v>1999909.98</v>
      </c>
      <c r="X204" s="99" t="s">
        <v>4451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5"/>
        <v>135</v>
      </c>
      <c r="AM204" s="196">
        <f t="shared" si="43"/>
        <v>958500</v>
      </c>
      <c r="AN204" s="196" t="s">
        <v>657</v>
      </c>
    </row>
    <row r="205" spans="16:44">
      <c r="Q205" s="99" t="s">
        <v>4936</v>
      </c>
      <c r="R205" s="95">
        <v>200000</v>
      </c>
      <c r="T205" s="168" t="s">
        <v>4231</v>
      </c>
      <c r="U205" s="168">
        <v>29041</v>
      </c>
      <c r="V205" s="113">
        <v>233.45</v>
      </c>
      <c r="W205" s="113">
        <f t="shared" si="46"/>
        <v>6779621.4499999993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5"/>
        <v>135</v>
      </c>
      <c r="AM205" s="20">
        <f t="shared" si="43"/>
        <v>-19966770</v>
      </c>
      <c r="AN205" s="20"/>
      <c r="AR205" t="s">
        <v>25</v>
      </c>
    </row>
    <row r="206" spans="16:44">
      <c r="Q206" s="99" t="s">
        <v>4718</v>
      </c>
      <c r="R206" s="95">
        <v>-8725</v>
      </c>
      <c r="S206" s="115"/>
      <c r="T206" s="168" t="s">
        <v>994</v>
      </c>
      <c r="U206" s="168">
        <v>12337</v>
      </c>
      <c r="V206" s="113">
        <v>243.16300000000001</v>
      </c>
      <c r="W206" s="113">
        <f t="shared" si="46"/>
        <v>2999901.9310000003</v>
      </c>
      <c r="X206" s="99" t="s">
        <v>4451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5"/>
        <v>132</v>
      </c>
      <c r="AM206" s="196">
        <f t="shared" si="43"/>
        <v>-4910400</v>
      </c>
      <c r="AN206" s="149" t="s">
        <v>657</v>
      </c>
    </row>
    <row r="207" spans="16:44">
      <c r="Q207" s="99" t="s">
        <v>4461</v>
      </c>
      <c r="R207" s="95">
        <f>SUM(R197:R206)</f>
        <v>1146080748.5000002</v>
      </c>
      <c r="S207" s="122"/>
      <c r="T207" s="168" t="s">
        <v>4595</v>
      </c>
      <c r="U207" s="168">
        <v>-16118</v>
      </c>
      <c r="V207" s="113">
        <v>248.17</v>
      </c>
      <c r="W207" s="113">
        <f t="shared" si="46"/>
        <v>-4000004.0599999996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5"/>
        <v>128</v>
      </c>
      <c r="AM207" s="20">
        <f t="shared" si="43"/>
        <v>-47657728</v>
      </c>
      <c r="AN207" s="99"/>
    </row>
    <row r="208" spans="16:44">
      <c r="Q208" s="96"/>
      <c r="S208" s="115"/>
      <c r="T208" s="168" t="s">
        <v>4624</v>
      </c>
      <c r="U208" s="168">
        <v>101681</v>
      </c>
      <c r="V208" s="113">
        <v>246.5711</v>
      </c>
      <c r="W208" s="113">
        <f t="shared" si="46"/>
        <v>25071596.019099999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5"/>
        <v>107</v>
      </c>
      <c r="AM208" s="20">
        <f t="shared" si="43"/>
        <v>25151634</v>
      </c>
      <c r="AN208" s="99"/>
    </row>
    <row r="209" spans="15:45">
      <c r="Q209" s="96"/>
      <c r="R209" s="182"/>
      <c r="S209" s="115"/>
      <c r="T209" s="168" t="s">
        <v>4628</v>
      </c>
      <c r="U209" s="168">
        <v>66606</v>
      </c>
      <c r="V209" s="113">
        <v>251.131</v>
      </c>
      <c r="W209" s="113">
        <f t="shared" si="46"/>
        <v>16726831.386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5"/>
        <v>107</v>
      </c>
      <c r="AM209" s="149">
        <f t="shared" si="43"/>
        <v>25151634</v>
      </c>
      <c r="AN209" s="149" t="s">
        <v>657</v>
      </c>
      <c r="AP209" t="s">
        <v>25</v>
      </c>
    </row>
    <row r="210" spans="15:45">
      <c r="Q210" s="96"/>
      <c r="R210" s="182"/>
      <c r="T210" s="168" t="s">
        <v>4635</v>
      </c>
      <c r="U210" s="168">
        <v>172025</v>
      </c>
      <c r="V210" s="113">
        <v>245.52809999999999</v>
      </c>
      <c r="W210" s="113">
        <f t="shared" si="46"/>
        <v>42236971.402499996</v>
      </c>
      <c r="X210" s="99" t="s">
        <v>452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5"/>
        <v>98</v>
      </c>
      <c r="AM210" s="149">
        <f t="shared" si="43"/>
        <v>44100000</v>
      </c>
      <c r="AN210" s="149" t="s">
        <v>657</v>
      </c>
    </row>
    <row r="211" spans="15:45">
      <c r="O211" t="s">
        <v>25</v>
      </c>
      <c r="Q211" s="96"/>
      <c r="R211" s="115"/>
      <c r="T211" s="168" t="s">
        <v>4635</v>
      </c>
      <c r="U211" s="168">
        <v>189227</v>
      </c>
      <c r="V211" s="113">
        <v>245.52809999999999</v>
      </c>
      <c r="W211" s="113">
        <f t="shared" si="46"/>
        <v>46460545.778700002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98</v>
      </c>
      <c r="AM211" s="20">
        <f t="shared" si="43"/>
        <v>44100000</v>
      </c>
      <c r="AN211" s="20"/>
      <c r="AR211" t="s">
        <v>25</v>
      </c>
    </row>
    <row r="212" spans="15:45">
      <c r="T212" s="168" t="s">
        <v>4638</v>
      </c>
      <c r="U212" s="168">
        <v>79720</v>
      </c>
      <c r="V212" s="113">
        <v>246.6568</v>
      </c>
      <c r="W212" s="113">
        <f t="shared" si="46"/>
        <v>19663480.096000001</v>
      </c>
      <c r="X212" s="99" t="s">
        <v>452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27" si="47">AK212+AL213</f>
        <v>76</v>
      </c>
      <c r="AM212" s="149">
        <f t="shared" ref="AM212:AM215" si="48">AJ212*AL212</f>
        <v>22800000</v>
      </c>
      <c r="AN212" s="149"/>
      <c r="AQ212" t="s">
        <v>25</v>
      </c>
    </row>
    <row r="213" spans="15:45" ht="30">
      <c r="P213" s="99" t="s">
        <v>8</v>
      </c>
      <c r="Q213" s="99" t="s">
        <v>4451</v>
      </c>
      <c r="R213" s="99"/>
      <c r="T213" s="168" t="s">
        <v>4638</v>
      </c>
      <c r="U213" s="168">
        <v>79720</v>
      </c>
      <c r="V213" s="113">
        <v>246.6568</v>
      </c>
      <c r="W213" s="113">
        <f t="shared" si="46"/>
        <v>19663480.096000001</v>
      </c>
      <c r="X213" s="99" t="s">
        <v>751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76</v>
      </c>
      <c r="AM213" s="121">
        <f t="shared" si="48"/>
        <v>21959136</v>
      </c>
      <c r="AN213" s="207" t="s">
        <v>4754</v>
      </c>
    </row>
    <row r="214" spans="15:45">
      <c r="P214" s="99"/>
      <c r="Q214" s="36" t="s">
        <v>180</v>
      </c>
      <c r="R214" s="99" t="s">
        <v>267</v>
      </c>
      <c r="T214" s="168" t="s">
        <v>4665</v>
      </c>
      <c r="U214" s="168">
        <v>17769</v>
      </c>
      <c r="V214" s="113">
        <v>246.17877999999999</v>
      </c>
      <c r="W214" s="113">
        <f t="shared" si="46"/>
        <v>4374350.7418200001</v>
      </c>
      <c r="X214" s="99" t="s">
        <v>751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73</v>
      </c>
      <c r="AM214" s="121">
        <f t="shared" si="48"/>
        <v>1311261843</v>
      </c>
      <c r="AN214" s="121" t="s">
        <v>4759</v>
      </c>
    </row>
    <row r="215" spans="15:45">
      <c r="P215" s="99"/>
      <c r="Q215" s="99" t="s">
        <v>4444</v>
      </c>
      <c r="R215" s="95">
        <v>3000000</v>
      </c>
      <c r="T215" s="168" t="s">
        <v>4665</v>
      </c>
      <c r="U215" s="168">
        <v>17769</v>
      </c>
      <c r="V215" s="113">
        <v>246.17877999999999</v>
      </c>
      <c r="W215" s="113">
        <f t="shared" si="46"/>
        <v>4374350.7418200001</v>
      </c>
      <c r="X215" s="99" t="s">
        <v>452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72</v>
      </c>
      <c r="AM215" s="121">
        <f t="shared" si="48"/>
        <v>1322172792</v>
      </c>
      <c r="AN215" s="121" t="s">
        <v>4759</v>
      </c>
    </row>
    <row r="216" spans="15:45">
      <c r="P216" s="99"/>
      <c r="Q216" s="99" t="s">
        <v>4498</v>
      </c>
      <c r="R216" s="95">
        <v>2000000</v>
      </c>
      <c r="T216" s="168" t="s">
        <v>4671</v>
      </c>
      <c r="U216" s="168">
        <v>12438</v>
      </c>
      <c r="V216" s="113">
        <v>241.20465999999999</v>
      </c>
      <c r="W216" s="113">
        <f t="shared" si="46"/>
        <v>3000103.5610799999</v>
      </c>
      <c r="X216" s="99" t="s">
        <v>4451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71</v>
      </c>
      <c r="AM216" s="121">
        <f t="shared" ref="AM216:AM219" si="49">AJ216*AL216</f>
        <v>1677191607</v>
      </c>
      <c r="AN216" s="121" t="s">
        <v>4774</v>
      </c>
      <c r="AS216" t="s">
        <v>25</v>
      </c>
    </row>
    <row r="217" spans="15:45">
      <c r="P217" s="99"/>
      <c r="Q217" s="99" t="s">
        <v>4506</v>
      </c>
      <c r="R217" s="95">
        <v>1000000</v>
      </c>
      <c r="T217" s="168" t="s">
        <v>4681</v>
      </c>
      <c r="U217" s="168">
        <v>27363</v>
      </c>
      <c r="V217" s="113">
        <v>239.3886</v>
      </c>
      <c r="W217" s="113">
        <f t="shared" si="46"/>
        <v>6550390.2617999995</v>
      </c>
      <c r="X217" s="99" t="s">
        <v>751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66</v>
      </c>
      <c r="AM217" s="121">
        <f t="shared" si="49"/>
        <v>5444743128</v>
      </c>
      <c r="AN217" s="121" t="s">
        <v>4794</v>
      </c>
    </row>
    <row r="218" spans="15:45">
      <c r="P218" s="99"/>
      <c r="Q218" s="99" t="s">
        <v>4512</v>
      </c>
      <c r="R218" s="95">
        <v>2000000</v>
      </c>
      <c r="T218" s="168" t="s">
        <v>4681</v>
      </c>
      <c r="U218" s="168">
        <v>27363</v>
      </c>
      <c r="V218" s="113">
        <v>239.3886</v>
      </c>
      <c r="W218" s="113">
        <f t="shared" si="46"/>
        <v>6550390.2617999995</v>
      </c>
      <c r="X218" s="99" t="s">
        <v>452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65</v>
      </c>
      <c r="AM218" s="121">
        <f t="shared" si="49"/>
        <v>4852741465</v>
      </c>
      <c r="AN218" s="121" t="s">
        <v>4802</v>
      </c>
    </row>
    <row r="219" spans="15:45">
      <c r="P219" s="99"/>
      <c r="Q219" s="99" t="s">
        <v>994</v>
      </c>
      <c r="R219" s="95">
        <v>3000000</v>
      </c>
      <c r="T219" s="212" t="s">
        <v>4685</v>
      </c>
      <c r="U219" s="212">
        <v>27437</v>
      </c>
      <c r="V219" s="113">
        <v>242.4015</v>
      </c>
      <c r="W219" s="113">
        <f t="shared" si="46"/>
        <v>6650769.9555000002</v>
      </c>
      <c r="X219" s="99" t="s">
        <v>751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49</v>
      </c>
      <c r="AM219" s="20">
        <f t="shared" si="49"/>
        <v>32585000</v>
      </c>
      <c r="AN219" s="99"/>
    </row>
    <row r="220" spans="15:45">
      <c r="P220" s="99"/>
      <c r="Q220" s="99" t="s">
        <v>4671</v>
      </c>
      <c r="R220" s="95">
        <v>3000000</v>
      </c>
      <c r="T220" s="212" t="s">
        <v>4685</v>
      </c>
      <c r="U220" s="212">
        <v>29104</v>
      </c>
      <c r="V220" s="113">
        <v>242.4015</v>
      </c>
      <c r="W220" s="113">
        <f t="shared" si="46"/>
        <v>7054853.2560000001</v>
      </c>
      <c r="X220" s="99" t="s">
        <v>452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49</v>
      </c>
      <c r="AM220" s="196">
        <f t="shared" ref="AM220:AM221" si="50">AJ220*AL220</f>
        <v>32585000</v>
      </c>
      <c r="AN220" s="196"/>
    </row>
    <row r="221" spans="15:45">
      <c r="P221" s="99" t="s">
        <v>4920</v>
      </c>
      <c r="Q221" s="99" t="s">
        <v>4913</v>
      </c>
      <c r="R221" s="95">
        <v>-800000</v>
      </c>
      <c r="T221" s="215" t="s">
        <v>4722</v>
      </c>
      <c r="U221" s="215">
        <v>8991</v>
      </c>
      <c r="V221" s="113">
        <v>238.64867000000001</v>
      </c>
      <c r="W221" s="113">
        <f t="shared" si="46"/>
        <v>2145690.19197</v>
      </c>
      <c r="X221" s="99" t="s">
        <v>751</v>
      </c>
      <c r="AH221" s="20">
        <v>40</v>
      </c>
      <c r="AI221" s="20" t="s">
        <v>4905</v>
      </c>
      <c r="AJ221" s="117">
        <v>2000000</v>
      </c>
      <c r="AK221" s="20">
        <v>1</v>
      </c>
      <c r="AL221" s="99">
        <f t="shared" si="47"/>
        <v>45</v>
      </c>
      <c r="AM221" s="20">
        <f t="shared" si="50"/>
        <v>90000000</v>
      </c>
      <c r="AN221" s="99"/>
    </row>
    <row r="222" spans="15:45">
      <c r="P222" s="99" t="s">
        <v>4921</v>
      </c>
      <c r="Q222" s="99" t="s">
        <v>4913</v>
      </c>
      <c r="R222" s="95">
        <v>-900000</v>
      </c>
      <c r="T222" s="215" t="s">
        <v>4722</v>
      </c>
      <c r="U222" s="215">
        <v>8991</v>
      </c>
      <c r="V222" s="113">
        <v>238.64867000000001</v>
      </c>
      <c r="W222" s="113">
        <f t="shared" si="46"/>
        <v>2145690.19197</v>
      </c>
      <c r="X222" s="99" t="s">
        <v>452</v>
      </c>
      <c r="Y222" s="96"/>
      <c r="AH222" s="20">
        <v>41</v>
      </c>
      <c r="AI222" s="20" t="s">
        <v>4913</v>
      </c>
      <c r="AJ222" s="117">
        <v>-2060725</v>
      </c>
      <c r="AK222" s="20">
        <v>0</v>
      </c>
      <c r="AL222" s="99">
        <f t="shared" si="47"/>
        <v>44</v>
      </c>
      <c r="AM222" s="20">
        <f t="shared" ref="AM222:AM227" si="51">AJ222*AL222</f>
        <v>-90671900</v>
      </c>
      <c r="AN222" s="99" t="s">
        <v>4914</v>
      </c>
    </row>
    <row r="223" spans="15:45">
      <c r="P223" s="99" t="s">
        <v>4921</v>
      </c>
      <c r="Q223" s="99" t="s">
        <v>981</v>
      </c>
      <c r="R223" s="95">
        <v>-1100000</v>
      </c>
      <c r="T223" s="215" t="s">
        <v>4737</v>
      </c>
      <c r="U223" s="215">
        <v>18170</v>
      </c>
      <c r="V223" s="113">
        <v>240.48475999999999</v>
      </c>
      <c r="W223" s="113">
        <f t="shared" si="46"/>
        <v>4369608.0892000003</v>
      </c>
      <c r="X223" s="99" t="s">
        <v>751</v>
      </c>
      <c r="Y223" t="s">
        <v>25</v>
      </c>
      <c r="AH223" s="149">
        <v>42</v>
      </c>
      <c r="AI223" s="149" t="s">
        <v>4913</v>
      </c>
      <c r="AJ223" s="189">
        <v>-433375</v>
      </c>
      <c r="AK223" s="149">
        <v>0</v>
      </c>
      <c r="AL223" s="149">
        <f t="shared" si="47"/>
        <v>44</v>
      </c>
      <c r="AM223" s="149">
        <f t="shared" si="51"/>
        <v>-19068500</v>
      </c>
      <c r="AN223" s="149" t="s">
        <v>4915</v>
      </c>
    </row>
    <row r="224" spans="15:45">
      <c r="P224" s="196" t="s">
        <v>1087</v>
      </c>
      <c r="Q224" s="196" t="s">
        <v>4954</v>
      </c>
      <c r="R224" s="245">
        <v>30000000</v>
      </c>
      <c r="S224" t="s">
        <v>25</v>
      </c>
      <c r="T224" s="215" t="s">
        <v>4737</v>
      </c>
      <c r="U224" s="215">
        <v>18170</v>
      </c>
      <c r="V224" s="113">
        <v>240.48475999999999</v>
      </c>
      <c r="W224" s="113">
        <f t="shared" si="46"/>
        <v>4369608.0892000003</v>
      </c>
      <c r="X224" s="99" t="s">
        <v>452</v>
      </c>
      <c r="Z224" t="s">
        <v>25</v>
      </c>
      <c r="AH224" s="20">
        <v>43</v>
      </c>
      <c r="AI224" s="20" t="s">
        <v>4913</v>
      </c>
      <c r="AJ224" s="117">
        <v>28000000</v>
      </c>
      <c r="AK224" s="20">
        <v>1</v>
      </c>
      <c r="AL224" s="99">
        <f t="shared" si="47"/>
        <v>44</v>
      </c>
      <c r="AM224" s="20">
        <f t="shared" si="51"/>
        <v>1232000000</v>
      </c>
      <c r="AN224" s="99" t="s">
        <v>3891</v>
      </c>
    </row>
    <row r="225" spans="16:44">
      <c r="P225" s="99"/>
      <c r="Q225" s="99"/>
      <c r="R225" s="95"/>
      <c r="T225" s="215" t="s">
        <v>4741</v>
      </c>
      <c r="U225" s="215">
        <v>36797</v>
      </c>
      <c r="V225" s="113">
        <v>239.0822</v>
      </c>
      <c r="W225" s="113">
        <f t="shared" si="46"/>
        <v>8797507.7134000007</v>
      </c>
      <c r="X225" s="99" t="s">
        <v>751</v>
      </c>
      <c r="AH225" s="20">
        <v>44</v>
      </c>
      <c r="AI225" s="20" t="s">
        <v>4924</v>
      </c>
      <c r="AJ225" s="117">
        <v>160000</v>
      </c>
      <c r="AK225" s="20">
        <v>0</v>
      </c>
      <c r="AL225" s="99">
        <f t="shared" si="47"/>
        <v>43</v>
      </c>
      <c r="AM225" s="20">
        <f t="shared" si="51"/>
        <v>6880000</v>
      </c>
      <c r="AN225" s="99"/>
    </row>
    <row r="226" spans="16:44">
      <c r="P226" s="99"/>
      <c r="Q226" s="99"/>
      <c r="R226" s="95">
        <f>SUM(R215:R224)</f>
        <v>41200000</v>
      </c>
      <c r="T226" s="215" t="s">
        <v>4741</v>
      </c>
      <c r="U226" s="215">
        <v>36797</v>
      </c>
      <c r="V226" s="113">
        <v>239.0822</v>
      </c>
      <c r="W226" s="113">
        <f t="shared" si="46"/>
        <v>8797507.7134000007</v>
      </c>
      <c r="X226" s="99" t="s">
        <v>452</v>
      </c>
      <c r="AH226" s="149">
        <v>45</v>
      </c>
      <c r="AI226" s="149" t="s">
        <v>4924</v>
      </c>
      <c r="AJ226" s="189">
        <v>70000</v>
      </c>
      <c r="AK226" s="149">
        <v>9</v>
      </c>
      <c r="AL226" s="149">
        <f t="shared" si="47"/>
        <v>43</v>
      </c>
      <c r="AM226" s="149">
        <f t="shared" si="51"/>
        <v>3010000</v>
      </c>
      <c r="AN226" s="149"/>
    </row>
    <row r="227" spans="16:44">
      <c r="P227" s="99"/>
      <c r="Q227" s="99"/>
      <c r="R227" s="99" t="s">
        <v>6</v>
      </c>
      <c r="T227" s="215" t="s">
        <v>4752</v>
      </c>
      <c r="U227" s="215">
        <v>28066</v>
      </c>
      <c r="V227" s="113">
        <v>237.56970000000001</v>
      </c>
      <c r="W227" s="113">
        <f t="shared" si="46"/>
        <v>6667631.2002000008</v>
      </c>
      <c r="X227" s="99" t="s">
        <v>751</v>
      </c>
      <c r="AH227" s="20">
        <v>46</v>
      </c>
      <c r="AI227" s="20" t="s">
        <v>4938</v>
      </c>
      <c r="AJ227" s="117">
        <v>850000</v>
      </c>
      <c r="AK227" s="20">
        <v>0</v>
      </c>
      <c r="AL227" s="99">
        <f t="shared" si="47"/>
        <v>34</v>
      </c>
      <c r="AM227" s="20">
        <f t="shared" si="51"/>
        <v>28900000</v>
      </c>
      <c r="AN227" s="99"/>
    </row>
    <row r="228" spans="16:44">
      <c r="T228" s="215" t="s">
        <v>4752</v>
      </c>
      <c r="U228" s="215">
        <v>28066</v>
      </c>
      <c r="V228" s="113">
        <v>237.56970000000001</v>
      </c>
      <c r="W228" s="113">
        <f t="shared" si="46"/>
        <v>6667631.2002000008</v>
      </c>
      <c r="X228" s="99" t="s">
        <v>452</v>
      </c>
      <c r="AH228" s="196">
        <v>47</v>
      </c>
      <c r="AI228" s="196" t="s">
        <v>4938</v>
      </c>
      <c r="AJ228" s="197">
        <v>20000</v>
      </c>
      <c r="AK228" s="196">
        <v>4</v>
      </c>
      <c r="AL228" s="196">
        <f t="shared" ref="AL228:AL240" si="52">AK228+AL229</f>
        <v>34</v>
      </c>
      <c r="AM228" s="196">
        <f t="shared" ref="AM228:AM240" si="53">AJ228*AL228</f>
        <v>680000</v>
      </c>
      <c r="AN228" s="196"/>
      <c r="AQ228" t="s">
        <v>25</v>
      </c>
    </row>
    <row r="229" spans="16:44">
      <c r="Q229" s="96"/>
      <c r="R229" s="96" t="s">
        <v>25</v>
      </c>
      <c r="T229" s="215" t="s">
        <v>3684</v>
      </c>
      <c r="U229" s="215">
        <v>37457</v>
      </c>
      <c r="V229" s="113">
        <v>239.77</v>
      </c>
      <c r="W229" s="113">
        <f t="shared" si="46"/>
        <v>8981064.8900000006</v>
      </c>
      <c r="X229" s="99" t="s">
        <v>751</v>
      </c>
      <c r="AH229" s="196">
        <v>48</v>
      </c>
      <c r="AI229" s="196" t="s">
        <v>4954</v>
      </c>
      <c r="AJ229" s="197">
        <v>30000000</v>
      </c>
      <c r="AK229" s="196">
        <v>27</v>
      </c>
      <c r="AL229" s="196">
        <f t="shared" si="52"/>
        <v>30</v>
      </c>
      <c r="AM229" s="196">
        <f t="shared" si="53"/>
        <v>900000000</v>
      </c>
      <c r="AN229" s="196" t="s">
        <v>4956</v>
      </c>
    </row>
    <row r="230" spans="16:44">
      <c r="Q230" s="96"/>
      <c r="R230" s="96"/>
      <c r="T230" s="215" t="s">
        <v>3684</v>
      </c>
      <c r="U230" s="215">
        <v>37457</v>
      </c>
      <c r="V230" s="113">
        <v>239.77</v>
      </c>
      <c r="W230" s="113">
        <f t="shared" si="46"/>
        <v>8981064.8900000006</v>
      </c>
      <c r="X230" s="99" t="s">
        <v>452</v>
      </c>
      <c r="AH230" s="20">
        <v>49</v>
      </c>
      <c r="AI230" s="20" t="s">
        <v>5055</v>
      </c>
      <c r="AJ230" s="117">
        <v>1100000</v>
      </c>
      <c r="AK230" s="20">
        <v>1</v>
      </c>
      <c r="AL230" s="20">
        <f t="shared" si="52"/>
        <v>3</v>
      </c>
      <c r="AM230" s="20">
        <f t="shared" si="53"/>
        <v>3300000</v>
      </c>
      <c r="AN230" s="20"/>
    </row>
    <row r="231" spans="16:44">
      <c r="T231" s="215" t="s">
        <v>4765</v>
      </c>
      <c r="U231" s="215">
        <v>38412</v>
      </c>
      <c r="V231" s="113">
        <v>239.03</v>
      </c>
      <c r="W231" s="113">
        <f t="shared" si="46"/>
        <v>9181620.3599999994</v>
      </c>
      <c r="X231" s="99" t="s">
        <v>751</v>
      </c>
      <c r="AH231" s="20">
        <v>50</v>
      </c>
      <c r="AI231" s="20" t="s">
        <v>5057</v>
      </c>
      <c r="AJ231" s="117">
        <v>450000</v>
      </c>
      <c r="AK231" s="20">
        <v>0</v>
      </c>
      <c r="AL231" s="20">
        <f t="shared" si="52"/>
        <v>2</v>
      </c>
      <c r="AM231" s="20">
        <f t="shared" si="53"/>
        <v>900000</v>
      </c>
      <c r="AN231" s="20"/>
    </row>
    <row r="232" spans="16:44">
      <c r="Q232" s="99" t="s">
        <v>751</v>
      </c>
      <c r="R232" s="99"/>
      <c r="T232" s="215" t="s">
        <v>4765</v>
      </c>
      <c r="U232" s="215">
        <v>38412</v>
      </c>
      <c r="V232" s="113">
        <v>239.03</v>
      </c>
      <c r="W232" s="113">
        <f t="shared" si="46"/>
        <v>9181620.3599999994</v>
      </c>
      <c r="X232" s="99" t="s">
        <v>452</v>
      </c>
      <c r="AH232" s="149">
        <v>51</v>
      </c>
      <c r="AI232" s="149" t="s">
        <v>5057</v>
      </c>
      <c r="AJ232" s="189">
        <v>550000</v>
      </c>
      <c r="AK232" s="149">
        <v>1</v>
      </c>
      <c r="AL232" s="149">
        <f t="shared" si="52"/>
        <v>2</v>
      </c>
      <c r="AM232" s="149">
        <f t="shared" si="53"/>
        <v>1100000</v>
      </c>
      <c r="AN232" s="149"/>
    </row>
    <row r="233" spans="16:44">
      <c r="Q233" s="99" t="s">
        <v>4444</v>
      </c>
      <c r="R233" s="95">
        <v>172908000</v>
      </c>
      <c r="T233" s="215" t="s">
        <v>4775</v>
      </c>
      <c r="U233" s="215">
        <v>49555</v>
      </c>
      <c r="V233" s="113">
        <v>238.345</v>
      </c>
      <c r="W233" s="113">
        <f t="shared" si="46"/>
        <v>11811186.475</v>
      </c>
      <c r="X233" s="99" t="s">
        <v>751</v>
      </c>
      <c r="AH233" s="149">
        <v>52</v>
      </c>
      <c r="AI233" s="149" t="s">
        <v>5060</v>
      </c>
      <c r="AJ233" s="189">
        <v>1000000</v>
      </c>
      <c r="AK233" s="149">
        <v>1</v>
      </c>
      <c r="AL233" s="149">
        <f t="shared" si="52"/>
        <v>1</v>
      </c>
      <c r="AM233" s="149">
        <f t="shared" si="53"/>
        <v>1000000</v>
      </c>
      <c r="AN233" s="149"/>
    </row>
    <row r="234" spans="16:44">
      <c r="Q234" s="99" t="s">
        <v>4485</v>
      </c>
      <c r="R234" s="95">
        <v>1400000</v>
      </c>
      <c r="T234" s="215" t="s">
        <v>4775</v>
      </c>
      <c r="U234" s="215">
        <v>49555</v>
      </c>
      <c r="V234" s="113">
        <v>238.345</v>
      </c>
      <c r="W234" s="113">
        <f t="shared" si="46"/>
        <v>11811186.475</v>
      </c>
      <c r="X234" s="99" t="s">
        <v>452</v>
      </c>
      <c r="AH234" s="20"/>
      <c r="AI234" s="20"/>
      <c r="AJ234" s="117"/>
      <c r="AK234" s="20"/>
      <c r="AL234" s="20">
        <f t="shared" si="52"/>
        <v>0</v>
      </c>
      <c r="AM234" s="20">
        <f t="shared" si="53"/>
        <v>0</v>
      </c>
      <c r="AN234" s="20"/>
    </row>
    <row r="235" spans="16:44">
      <c r="Q235" s="99" t="s">
        <v>4232</v>
      </c>
      <c r="R235" s="95">
        <v>247393</v>
      </c>
      <c r="T235" s="215" t="s">
        <v>4793</v>
      </c>
      <c r="U235" s="215">
        <v>160187</v>
      </c>
      <c r="V235" s="113">
        <v>257.49799999999999</v>
      </c>
      <c r="W235" s="113">
        <f t="shared" si="46"/>
        <v>41247832.126000002</v>
      </c>
      <c r="X235" s="99" t="s">
        <v>751</v>
      </c>
      <c r="AH235" s="20"/>
      <c r="AI235" s="20"/>
      <c r="AJ235" s="117"/>
      <c r="AK235" s="20"/>
      <c r="AL235" s="20">
        <f t="shared" si="52"/>
        <v>0</v>
      </c>
      <c r="AM235" s="20">
        <f t="shared" si="53"/>
        <v>0</v>
      </c>
      <c r="AN235" s="20"/>
    </row>
    <row r="236" spans="16:44">
      <c r="Q236" s="99" t="s">
        <v>4231</v>
      </c>
      <c r="R236" s="95">
        <v>6780000</v>
      </c>
      <c r="T236" s="215" t="s">
        <v>4793</v>
      </c>
      <c r="U236" s="215">
        <v>160187</v>
      </c>
      <c r="V236" s="113">
        <v>257.49799999999999</v>
      </c>
      <c r="W236" s="113">
        <f t="shared" si="46"/>
        <v>41247832.126000002</v>
      </c>
      <c r="X236" s="99" t="s">
        <v>452</v>
      </c>
      <c r="AH236" s="20"/>
      <c r="AI236" s="20"/>
      <c r="AJ236" s="117"/>
      <c r="AK236" s="20"/>
      <c r="AL236" s="20">
        <f t="shared" si="52"/>
        <v>0</v>
      </c>
      <c r="AM236" s="20">
        <f t="shared" si="53"/>
        <v>0</v>
      </c>
      <c r="AN236" s="20"/>
      <c r="AR236" t="s">
        <v>25</v>
      </c>
    </row>
    <row r="237" spans="16:44">
      <c r="Q237" s="99" t="s">
        <v>4595</v>
      </c>
      <c r="R237" s="95">
        <v>-4000000</v>
      </c>
      <c r="S237" t="s">
        <v>25</v>
      </c>
      <c r="T237" s="215" t="s">
        <v>4803</v>
      </c>
      <c r="U237" s="215">
        <v>144401</v>
      </c>
      <c r="V237" s="113">
        <v>258.5061</v>
      </c>
      <c r="W237" s="113">
        <f t="shared" si="46"/>
        <v>37328539.346100003</v>
      </c>
      <c r="X237" s="99" t="s">
        <v>751</v>
      </c>
      <c r="AH237" s="20"/>
      <c r="AI237" s="20"/>
      <c r="AJ237" s="117"/>
      <c r="AK237" s="20"/>
      <c r="AL237" s="20">
        <f t="shared" si="52"/>
        <v>0</v>
      </c>
      <c r="AM237" s="20">
        <f t="shared" si="53"/>
        <v>0</v>
      </c>
      <c r="AN237" s="20"/>
      <c r="AR237" t="s">
        <v>25</v>
      </c>
    </row>
    <row r="238" spans="16:44">
      <c r="Q238" s="99" t="s">
        <v>4628</v>
      </c>
      <c r="R238" s="95">
        <v>16727037</v>
      </c>
      <c r="T238" s="215" t="s">
        <v>4803</v>
      </c>
      <c r="U238" s="215">
        <v>144401</v>
      </c>
      <c r="V238" s="113">
        <v>258.5061</v>
      </c>
      <c r="W238" s="113">
        <f t="shared" si="46"/>
        <v>37328539.346100003</v>
      </c>
      <c r="X238" s="99" t="s">
        <v>452</v>
      </c>
      <c r="AH238" s="20"/>
      <c r="AI238" s="20"/>
      <c r="AJ238" s="117"/>
      <c r="AK238" s="20"/>
      <c r="AL238" s="20">
        <f t="shared" si="52"/>
        <v>0</v>
      </c>
      <c r="AM238" s="20">
        <f t="shared" si="53"/>
        <v>0</v>
      </c>
      <c r="AN238" s="20"/>
    </row>
    <row r="239" spans="16:44">
      <c r="Q239" s="99" t="s">
        <v>4635</v>
      </c>
      <c r="R239" s="95">
        <v>46460683</v>
      </c>
      <c r="T239" s="168" t="s">
        <v>4812</v>
      </c>
      <c r="U239" s="168">
        <v>196500</v>
      </c>
      <c r="V239" s="113">
        <v>254.452</v>
      </c>
      <c r="W239" s="113">
        <f t="shared" si="46"/>
        <v>49999818</v>
      </c>
      <c r="X239" s="99" t="s">
        <v>4820</v>
      </c>
      <c r="AH239" s="99"/>
      <c r="AI239" s="99"/>
      <c r="AJ239" s="117"/>
      <c r="AK239" s="99"/>
      <c r="AL239" s="99">
        <f t="shared" si="52"/>
        <v>0</v>
      </c>
      <c r="AM239" s="20">
        <f t="shared" si="53"/>
        <v>0</v>
      </c>
      <c r="AN239" s="99"/>
    </row>
    <row r="240" spans="16:44">
      <c r="Q240" s="99" t="s">
        <v>4638</v>
      </c>
      <c r="R240" s="95">
        <v>19663646</v>
      </c>
      <c r="T240" s="215" t="s">
        <v>4812</v>
      </c>
      <c r="U240" s="215">
        <v>2561</v>
      </c>
      <c r="V240" s="113">
        <v>254.536</v>
      </c>
      <c r="W240" s="113">
        <f t="shared" si="46"/>
        <v>651866.696</v>
      </c>
      <c r="X240" s="99" t="s">
        <v>4821</v>
      </c>
      <c r="AH240" s="99"/>
      <c r="AI240" s="99"/>
      <c r="AJ240" s="117"/>
      <c r="AK240" s="99"/>
      <c r="AL240" s="99">
        <f t="shared" si="52"/>
        <v>0</v>
      </c>
      <c r="AM240" s="99">
        <f t="shared" si="53"/>
        <v>0</v>
      </c>
      <c r="AN240" s="99"/>
    </row>
    <row r="241" spans="17:40">
      <c r="Q241" s="99" t="s">
        <v>4665</v>
      </c>
      <c r="R241" s="95">
        <v>4374525</v>
      </c>
      <c r="S241" t="s">
        <v>25</v>
      </c>
      <c r="T241" s="215" t="s">
        <v>4872</v>
      </c>
      <c r="U241" s="215">
        <v>-11795</v>
      </c>
      <c r="V241" s="113">
        <v>254.334</v>
      </c>
      <c r="W241" s="113">
        <f t="shared" si="46"/>
        <v>-2999869.5300000003</v>
      </c>
      <c r="X241" s="99" t="s">
        <v>4873</v>
      </c>
      <c r="AH241" s="99"/>
      <c r="AI241" s="99"/>
      <c r="AJ241" s="95">
        <f>SUM(AJ182:AJ240)</f>
        <v>309617098</v>
      </c>
      <c r="AK241" s="99"/>
      <c r="AL241" s="99"/>
      <c r="AM241" s="99">
        <f>SUM(AM182:AM240)</f>
        <v>22926371513</v>
      </c>
      <c r="AN241" s="95">
        <f>AM241*AN168/31</f>
        <v>12326252.709908742</v>
      </c>
    </row>
    <row r="242" spans="17:40">
      <c r="Q242" s="99" t="s">
        <v>4681</v>
      </c>
      <c r="R242" s="95">
        <v>6550580</v>
      </c>
      <c r="T242" s="215" t="s">
        <v>4872</v>
      </c>
      <c r="U242" s="215">
        <v>11795</v>
      </c>
      <c r="V242" s="113">
        <v>254.334</v>
      </c>
      <c r="W242" s="113">
        <f t="shared" si="46"/>
        <v>2999869.5300000003</v>
      </c>
      <c r="X242" s="99" t="s">
        <v>4874</v>
      </c>
      <c r="AJ242" t="s">
        <v>4059</v>
      </c>
      <c r="AM242" t="s">
        <v>284</v>
      </c>
      <c r="AN242" t="s">
        <v>943</v>
      </c>
    </row>
    <row r="243" spans="17:40">
      <c r="Q243" s="99" t="s">
        <v>4685</v>
      </c>
      <c r="R243" s="95">
        <v>6650895</v>
      </c>
      <c r="T243" s="215" t="s">
        <v>4890</v>
      </c>
      <c r="U243" s="215">
        <v>260</v>
      </c>
      <c r="V243" s="113">
        <v>263.19</v>
      </c>
      <c r="W243" s="113">
        <f t="shared" si="46"/>
        <v>68429.399999999994</v>
      </c>
      <c r="X243" s="99" t="s">
        <v>452</v>
      </c>
    </row>
    <row r="244" spans="17:40">
      <c r="Q244" s="99" t="s">
        <v>4722</v>
      </c>
      <c r="R244" s="95">
        <v>2145814</v>
      </c>
      <c r="T244" s="215" t="s">
        <v>4905</v>
      </c>
      <c r="U244" s="215">
        <v>15257</v>
      </c>
      <c r="V244" s="113">
        <v>262.19018</v>
      </c>
      <c r="W244" s="113">
        <f t="shared" si="46"/>
        <v>4000235.57626</v>
      </c>
      <c r="X244" s="99" t="s">
        <v>452</v>
      </c>
      <c r="Y244" t="s">
        <v>25</v>
      </c>
      <c r="AI244" t="s">
        <v>4061</v>
      </c>
      <c r="AJ244" s="114">
        <f>AJ241+AN241</f>
        <v>321943350.70990872</v>
      </c>
    </row>
    <row r="245" spans="17:40">
      <c r="Q245" s="99" t="s">
        <v>4737</v>
      </c>
      <c r="R245" s="95">
        <v>4369730</v>
      </c>
      <c r="T245" s="215" t="s">
        <v>4905</v>
      </c>
      <c r="U245" s="215">
        <v>8444</v>
      </c>
      <c r="V245" s="113">
        <v>266.43029999999999</v>
      </c>
      <c r="W245" s="113">
        <f t="shared" si="46"/>
        <v>2249737.4531999999</v>
      </c>
      <c r="X245" s="99" t="s">
        <v>452</v>
      </c>
      <c r="Y245" t="s">
        <v>25</v>
      </c>
      <c r="AI245" t="s">
        <v>4064</v>
      </c>
      <c r="AJ245" s="114">
        <f>SUM(N20:N35)</f>
        <v>382311310.80000001</v>
      </c>
    </row>
    <row r="246" spans="17:40">
      <c r="Q246" s="99" t="s">
        <v>4741</v>
      </c>
      <c r="R246" s="95">
        <v>8739459</v>
      </c>
      <c r="T246" s="215" t="s">
        <v>4913</v>
      </c>
      <c r="U246" s="215">
        <v>-6209</v>
      </c>
      <c r="V246" s="113">
        <v>273.79649999999998</v>
      </c>
      <c r="W246" s="113">
        <f t="shared" si="46"/>
        <v>-1700002.4685</v>
      </c>
      <c r="X246" s="99" t="s">
        <v>4926</v>
      </c>
      <c r="AI246" t="s">
        <v>4136</v>
      </c>
      <c r="AJ246" s="114">
        <f>AJ245-AJ241</f>
        <v>72694212.800000012</v>
      </c>
    </row>
    <row r="247" spans="17:40">
      <c r="Q247" s="99" t="s">
        <v>4752</v>
      </c>
      <c r="R247" s="95">
        <v>6667654</v>
      </c>
      <c r="T247" s="215" t="s">
        <v>4913</v>
      </c>
      <c r="U247" s="215">
        <v>-8014</v>
      </c>
      <c r="V247" s="113">
        <v>273.79649999999998</v>
      </c>
      <c r="W247" s="113">
        <f t="shared" si="46"/>
        <v>-2194205.1510000001</v>
      </c>
      <c r="X247" s="99" t="s">
        <v>751</v>
      </c>
      <c r="AI247" t="s">
        <v>943</v>
      </c>
      <c r="AJ247" s="114">
        <f>AN241</f>
        <v>12326252.709908742</v>
      </c>
    </row>
    <row r="248" spans="17:40">
      <c r="Q248" s="99" t="s">
        <v>4760</v>
      </c>
      <c r="R248" s="95">
        <v>8981245</v>
      </c>
      <c r="S248" t="s">
        <v>25</v>
      </c>
      <c r="T248" s="215" t="s">
        <v>4924</v>
      </c>
      <c r="U248" s="215">
        <v>-9176</v>
      </c>
      <c r="V248" s="113">
        <v>273.79649999999998</v>
      </c>
      <c r="W248" s="113">
        <f t="shared" si="46"/>
        <v>-2512356.6839999999</v>
      </c>
      <c r="X248" s="99" t="s">
        <v>452</v>
      </c>
      <c r="AI248" t="s">
        <v>4065</v>
      </c>
      <c r="AJ248" s="114">
        <f>AJ246-AJ247</f>
        <v>60367960.090091273</v>
      </c>
      <c r="AN248" t="s">
        <v>25</v>
      </c>
    </row>
    <row r="249" spans="17:40">
      <c r="Q249" s="99" t="s">
        <v>4765</v>
      </c>
      <c r="R249" s="95">
        <v>9181756</v>
      </c>
      <c r="T249" s="215" t="s">
        <v>4924</v>
      </c>
      <c r="U249" s="215">
        <v>1087</v>
      </c>
      <c r="V249" s="113">
        <v>273.79649999999998</v>
      </c>
      <c r="W249" s="113">
        <f t="shared" si="46"/>
        <v>297616.79550000001</v>
      </c>
      <c r="X249" s="99" t="s">
        <v>452</v>
      </c>
      <c r="AN249" t="s">
        <v>25</v>
      </c>
    </row>
    <row r="250" spans="17:40">
      <c r="Q250" s="99" t="s">
        <v>4775</v>
      </c>
      <c r="R250" s="95">
        <v>11811208</v>
      </c>
      <c r="T250" s="215" t="s">
        <v>981</v>
      </c>
      <c r="U250" s="215">
        <v>-4017</v>
      </c>
      <c r="V250" s="113">
        <v>273.79649999999998</v>
      </c>
      <c r="W250" s="113">
        <f t="shared" si="46"/>
        <v>-1099840.5404999999</v>
      </c>
      <c r="X250" s="99" t="s">
        <v>4451</v>
      </c>
    </row>
    <row r="251" spans="17:40">
      <c r="Q251" s="99" t="s">
        <v>4793</v>
      </c>
      <c r="R251" s="95">
        <v>41248054</v>
      </c>
      <c r="T251" s="215" t="s">
        <v>981</v>
      </c>
      <c r="U251" s="215">
        <v>4017</v>
      </c>
      <c r="V251" s="113">
        <v>273.79649999999998</v>
      </c>
      <c r="W251" s="113">
        <f t="shared" si="46"/>
        <v>1099840.5404999999</v>
      </c>
      <c r="X251" s="99" t="s">
        <v>452</v>
      </c>
    </row>
    <row r="252" spans="17:40">
      <c r="Q252" s="99" t="s">
        <v>4803</v>
      </c>
      <c r="R252" s="95">
        <v>37328780</v>
      </c>
      <c r="S252" t="s">
        <v>25</v>
      </c>
      <c r="T252" s="215" t="s">
        <v>4938</v>
      </c>
      <c r="U252" s="215">
        <v>3137</v>
      </c>
      <c r="V252" s="113">
        <v>283.69110000000001</v>
      </c>
      <c r="W252" s="113">
        <f t="shared" si="46"/>
        <v>889938.98070000007</v>
      </c>
      <c r="X252" s="99" t="s">
        <v>452</v>
      </c>
      <c r="AN252" t="s">
        <v>25</v>
      </c>
    </row>
    <row r="253" spans="17:40">
      <c r="Q253" s="99" t="s">
        <v>4913</v>
      </c>
      <c r="R253" s="95">
        <v>-2194100</v>
      </c>
      <c r="S253" t="s">
        <v>25</v>
      </c>
      <c r="T253" s="215" t="s">
        <v>4954</v>
      </c>
      <c r="U253" s="215">
        <v>101933</v>
      </c>
      <c r="V253" s="113">
        <v>294.30973999999998</v>
      </c>
      <c r="W253" s="113">
        <f t="shared" si="46"/>
        <v>29999874.727419998</v>
      </c>
      <c r="X253" s="99" t="s">
        <v>1087</v>
      </c>
    </row>
    <row r="254" spans="17:40">
      <c r="Q254" s="99" t="s">
        <v>4969</v>
      </c>
      <c r="R254" s="95">
        <v>20193916</v>
      </c>
      <c r="T254" s="215" t="s">
        <v>4967</v>
      </c>
      <c r="U254" s="215">
        <v>3407</v>
      </c>
      <c r="V254" s="113">
        <v>293.43799999999999</v>
      </c>
      <c r="W254" s="113">
        <f t="shared" si="46"/>
        <v>999743.26599999995</v>
      </c>
      <c r="X254" s="99" t="s">
        <v>452</v>
      </c>
    </row>
    <row r="255" spans="17:40">
      <c r="Q255" s="99"/>
      <c r="R255" s="95"/>
      <c r="T255" s="215" t="s">
        <v>4969</v>
      </c>
      <c r="U255" s="215">
        <v>68796</v>
      </c>
      <c r="V255" s="113">
        <v>293.53250000000003</v>
      </c>
      <c r="W255" s="113">
        <f t="shared" si="46"/>
        <v>20193861.870000001</v>
      </c>
      <c r="X255" s="99" t="s">
        <v>751</v>
      </c>
    </row>
    <row r="256" spans="17:40">
      <c r="Q256" s="99"/>
      <c r="R256" s="95">
        <f>SUM(R233:R255)</f>
        <v>426236275</v>
      </c>
      <c r="T256" s="215" t="s">
        <v>4969</v>
      </c>
      <c r="U256" s="215">
        <v>154791</v>
      </c>
      <c r="V256" s="113">
        <v>293.53250000000003</v>
      </c>
      <c r="W256" s="113">
        <f t="shared" si="46"/>
        <v>45436189.207500003</v>
      </c>
      <c r="X256" s="99" t="s">
        <v>452</v>
      </c>
    </row>
    <row r="257" spans="17:24">
      <c r="Q257" s="99"/>
      <c r="R257" s="99" t="s">
        <v>6</v>
      </c>
      <c r="T257" s="215" t="s">
        <v>4969</v>
      </c>
      <c r="U257" s="215">
        <v>-11923</v>
      </c>
      <c r="V257" s="113">
        <v>293.53250000000003</v>
      </c>
      <c r="W257" s="113">
        <f t="shared" si="46"/>
        <v>-3499787.9975000005</v>
      </c>
      <c r="X257" s="99" t="s">
        <v>452</v>
      </c>
    </row>
    <row r="258" spans="17:24">
      <c r="T258" s="215" t="s">
        <v>4992</v>
      </c>
      <c r="U258" s="215">
        <v>8424</v>
      </c>
      <c r="V258" s="113">
        <v>299.15170000000001</v>
      </c>
      <c r="W258" s="113">
        <f t="shared" si="46"/>
        <v>2520053.9208</v>
      </c>
      <c r="X258" s="99" t="s">
        <v>452</v>
      </c>
    </row>
    <row r="259" spans="17:24">
      <c r="T259" s="215" t="s">
        <v>5032</v>
      </c>
      <c r="U259" s="215">
        <v>15943</v>
      </c>
      <c r="V259" s="113">
        <v>307.34415000000001</v>
      </c>
      <c r="W259" s="113">
        <f t="shared" si="46"/>
        <v>4899987.78345</v>
      </c>
      <c r="X259" s="99" t="s">
        <v>452</v>
      </c>
    </row>
    <row r="260" spans="17:24">
      <c r="Q260" s="99" t="s">
        <v>452</v>
      </c>
      <c r="R260" s="99"/>
      <c r="T260" s="215" t="s">
        <v>5055</v>
      </c>
      <c r="U260" s="215">
        <v>3741</v>
      </c>
      <c r="V260" s="113">
        <v>307.34415000000001</v>
      </c>
      <c r="W260" s="113">
        <f t="shared" si="46"/>
        <v>1149774.4651500001</v>
      </c>
      <c r="X260" s="99" t="s">
        <v>452</v>
      </c>
    </row>
    <row r="261" spans="17:24">
      <c r="Q261" s="99" t="s">
        <v>4444</v>
      </c>
      <c r="R261" s="95">
        <v>63115000</v>
      </c>
      <c r="T261" s="168"/>
      <c r="U261" s="168"/>
      <c r="V261" s="113"/>
      <c r="W261" s="113"/>
      <c r="X261" s="99"/>
    </row>
    <row r="262" spans="17:24">
      <c r="Q262" s="99" t="s">
        <v>4498</v>
      </c>
      <c r="R262" s="95">
        <v>13300000</v>
      </c>
      <c r="T262" s="168"/>
      <c r="U262" s="168">
        <f>SUM(U197:U261)</f>
        <v>3556894</v>
      </c>
      <c r="V262" s="99"/>
      <c r="W262" s="99"/>
      <c r="X262" s="99"/>
    </row>
    <row r="263" spans="17:24">
      <c r="Q263" s="99" t="s">
        <v>4506</v>
      </c>
      <c r="R263" s="95">
        <v>2269000</v>
      </c>
      <c r="T263" s="99"/>
      <c r="U263" s="99" t="s">
        <v>6</v>
      </c>
      <c r="V263" s="99"/>
      <c r="W263" s="99"/>
      <c r="X263" s="99"/>
    </row>
    <row r="264" spans="17:24">
      <c r="Q264" s="99" t="s">
        <v>4624</v>
      </c>
      <c r="R264" s="95">
        <v>25071612</v>
      </c>
      <c r="T264" s="201" t="s">
        <v>4488</v>
      </c>
    </row>
    <row r="265" spans="17:24">
      <c r="Q265" s="99" t="s">
        <v>4635</v>
      </c>
      <c r="R265" s="95">
        <v>42236984</v>
      </c>
      <c r="T265" s="200">
        <f>R207/U262</f>
        <v>322.21391711420137</v>
      </c>
    </row>
    <row r="266" spans="17:24">
      <c r="Q266" s="99" t="s">
        <v>4638</v>
      </c>
      <c r="R266" s="95">
        <v>19663646</v>
      </c>
      <c r="W266" s="114"/>
    </row>
    <row r="267" spans="17:24">
      <c r="Q267" s="99" t="s">
        <v>4665</v>
      </c>
      <c r="R267" s="95">
        <v>4374525</v>
      </c>
      <c r="U267" s="96" t="s">
        <v>267</v>
      </c>
      <c r="V267" t="s">
        <v>4489</v>
      </c>
      <c r="X267" t="s">
        <v>25</v>
      </c>
    </row>
    <row r="268" spans="17:24">
      <c r="Q268" s="99" t="s">
        <v>4681</v>
      </c>
      <c r="R268" s="95">
        <v>6550580</v>
      </c>
      <c r="T268" s="114"/>
      <c r="U268" s="113">
        <v>1100000</v>
      </c>
      <c r="V268">
        <f>U268/T265</f>
        <v>3413.8810944349439</v>
      </c>
      <c r="X268" t="s">
        <v>25</v>
      </c>
    </row>
    <row r="269" spans="17:24">
      <c r="Q269" s="99" t="s">
        <v>4685</v>
      </c>
      <c r="R269" s="95">
        <v>7054895</v>
      </c>
      <c r="X269" t="s">
        <v>25</v>
      </c>
    </row>
    <row r="270" spans="17:24">
      <c r="Q270" s="99" t="s">
        <v>4722</v>
      </c>
      <c r="R270" s="95">
        <v>2145814</v>
      </c>
      <c r="W270" s="225"/>
      <c r="X270" s="96" t="s">
        <v>25</v>
      </c>
    </row>
    <row r="271" spans="17:24">
      <c r="Q271" s="99" t="s">
        <v>4737</v>
      </c>
      <c r="R271" s="95">
        <v>4369730</v>
      </c>
    </row>
    <row r="272" spans="17:24">
      <c r="Q272" s="99" t="s">
        <v>4741</v>
      </c>
      <c r="R272" s="95">
        <v>8739459</v>
      </c>
    </row>
    <row r="273" spans="17:22" ht="60">
      <c r="Q273" s="99" t="s">
        <v>4752</v>
      </c>
      <c r="R273" s="95">
        <v>6667654</v>
      </c>
      <c r="T273" s="22" t="s">
        <v>4472</v>
      </c>
      <c r="V273" s="225"/>
    </row>
    <row r="274" spans="17:22" ht="45">
      <c r="Q274" s="99" t="s">
        <v>3684</v>
      </c>
      <c r="R274" s="95">
        <v>8981245</v>
      </c>
      <c r="T274" s="22" t="s">
        <v>4473</v>
      </c>
    </row>
    <row r="275" spans="17:22">
      <c r="Q275" s="99" t="s">
        <v>4765</v>
      </c>
      <c r="R275" s="95">
        <v>9181756</v>
      </c>
    </row>
    <row r="276" spans="17:22">
      <c r="Q276" s="99" t="s">
        <v>4775</v>
      </c>
      <c r="R276" s="95">
        <v>11811208</v>
      </c>
    </row>
    <row r="277" spans="17:22">
      <c r="Q277" s="99" t="s">
        <v>4793</v>
      </c>
      <c r="R277" s="95">
        <v>41248054</v>
      </c>
      <c r="T277" s="99" t="s">
        <v>4490</v>
      </c>
      <c r="U277" s="99" t="s">
        <v>4461</v>
      </c>
      <c r="V277" s="99" t="s">
        <v>953</v>
      </c>
    </row>
    <row r="278" spans="17:22">
      <c r="Q278" s="99" t="s">
        <v>4803</v>
      </c>
      <c r="R278" s="95">
        <v>37328780</v>
      </c>
      <c r="T278" s="95">
        <f>R226+R256+R294</f>
        <v>889149220</v>
      </c>
      <c r="U278" s="95">
        <f>R207</f>
        <v>1146080748.5000002</v>
      </c>
      <c r="V278" s="95">
        <f>U278-T278</f>
        <v>256931528.50000024</v>
      </c>
    </row>
    <row r="279" spans="17:22">
      <c r="Q279" s="99" t="s">
        <v>4812</v>
      </c>
      <c r="R279" s="95">
        <v>50000000</v>
      </c>
    </row>
    <row r="280" spans="17:22">
      <c r="Q280" s="99" t="s">
        <v>4890</v>
      </c>
      <c r="R280" s="95">
        <v>68656</v>
      </c>
    </row>
    <row r="281" spans="17:22">
      <c r="Q281" s="99" t="s">
        <v>4905</v>
      </c>
      <c r="R281" s="95">
        <v>4000236</v>
      </c>
    </row>
    <row r="282" spans="17:22">
      <c r="Q282" s="99" t="s">
        <v>4905</v>
      </c>
      <c r="R282" s="95">
        <v>2250000</v>
      </c>
    </row>
    <row r="283" spans="17:22">
      <c r="Q283" s="99" t="s">
        <v>4913</v>
      </c>
      <c r="R283" s="95">
        <v>-2512200</v>
      </c>
      <c r="T283" t="s">
        <v>25</v>
      </c>
    </row>
    <row r="284" spans="17:22">
      <c r="Q284" s="99" t="s">
        <v>4924</v>
      </c>
      <c r="R284" s="95">
        <v>300000</v>
      </c>
      <c r="T284" t="s">
        <v>25</v>
      </c>
    </row>
    <row r="285" spans="17:22">
      <c r="Q285" s="99" t="s">
        <v>981</v>
      </c>
      <c r="R285" s="95">
        <v>1100000</v>
      </c>
    </row>
    <row r="286" spans="17:22">
      <c r="Q286" s="99" t="s">
        <v>4938</v>
      </c>
      <c r="R286" s="95">
        <v>890000</v>
      </c>
      <c r="T286" t="s">
        <v>25</v>
      </c>
    </row>
    <row r="287" spans="17:22">
      <c r="Q287" s="99" t="s">
        <v>4967</v>
      </c>
      <c r="R287" s="95">
        <v>1000000</v>
      </c>
      <c r="T287" t="s">
        <v>25</v>
      </c>
    </row>
    <row r="288" spans="17:22">
      <c r="Q288" s="99" t="s">
        <v>4969</v>
      </c>
      <c r="R288" s="95">
        <v>45436311</v>
      </c>
    </row>
    <row r="289" spans="17:20">
      <c r="Q289" s="99" t="s">
        <v>4969</v>
      </c>
      <c r="R289" s="95">
        <v>-3500000</v>
      </c>
    </row>
    <row r="290" spans="17:20">
      <c r="Q290" s="99" t="s">
        <v>4992</v>
      </c>
      <c r="R290" s="95">
        <v>2520000</v>
      </c>
      <c r="T290" t="s">
        <v>25</v>
      </c>
    </row>
    <row r="291" spans="17:20">
      <c r="Q291" s="99" t="s">
        <v>5032</v>
      </c>
      <c r="R291" s="95">
        <v>4900000</v>
      </c>
      <c r="T291" t="s">
        <v>25</v>
      </c>
    </row>
    <row r="292" spans="17:20">
      <c r="Q292" s="99" t="s">
        <v>5055</v>
      </c>
      <c r="R292" s="95">
        <v>1150000</v>
      </c>
    </row>
    <row r="293" spans="17:20">
      <c r="Q293" s="99"/>
      <c r="R293" s="95"/>
      <c r="T293" t="s">
        <v>25</v>
      </c>
    </row>
    <row r="294" spans="17:20">
      <c r="Q294" s="99"/>
      <c r="R294" s="95">
        <f>SUM(R261:R293)</f>
        <v>421712945</v>
      </c>
      <c r="T294" t="s">
        <v>25</v>
      </c>
    </row>
    <row r="295" spans="17:20">
      <c r="Q295" s="99"/>
      <c r="R295" s="99" t="s">
        <v>6</v>
      </c>
    </row>
    <row r="298" spans="17:20">
      <c r="T298" t="s">
        <v>25</v>
      </c>
    </row>
    <row r="299" spans="17:20">
      <c r="T299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8:I135 G126:G127 G146:G1048576 G136:G137 G139 G96:G117">
    <cfRule type="cellIs" dxfId="11" priority="12" operator="lessThan">
      <formula>0</formula>
    </cfRule>
  </conditionalFormatting>
  <conditionalFormatting sqref="G118">
    <cfRule type="cellIs" dxfId="10" priority="11" operator="lessThan">
      <formula>0</formula>
    </cfRule>
  </conditionalFormatting>
  <conditionalFormatting sqref="G121">
    <cfRule type="cellIs" dxfId="9" priority="3" operator="lessThan">
      <formula>0</formula>
    </cfRule>
  </conditionalFormatting>
  <conditionalFormatting sqref="G119">
    <cfRule type="cellIs" dxfId="8" priority="6" operator="lessThan">
      <formula>0</formula>
    </cfRule>
  </conditionalFormatting>
  <conditionalFormatting sqref="G122 G124">
    <cfRule type="cellIs" dxfId="7" priority="4" operator="lessThan">
      <formula>0</formula>
    </cfRule>
  </conditionalFormatting>
  <conditionalFormatting sqref="G125">
    <cfRule type="cellIs" dxfId="6" priority="1" operator="lessThan">
      <formula>0</formula>
    </cfRule>
  </conditionalFormatting>
  <conditionalFormatting sqref="G120">
    <cfRule type="cellIs" dxfId="5" priority="5" operator="lessThan">
      <formula>0</formula>
    </cfRule>
  </conditionalFormatting>
  <conditionalFormatting sqref="G123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9 S115 S118:S120 S123 S129:S130 S125 S140 S37:S38 S154 S152 P22 S158 S135 S106 S43 S46 S48 G142 S167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abSelected="1" topLeftCell="C85" zoomScale="90" zoomScaleNormal="90" workbookViewId="0">
      <selection activeCell="M108" sqref="M108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4967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4967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4967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4898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4913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4969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4983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5008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4912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4898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4911</v>
      </c>
      <c r="J82" s="86">
        <f t="shared" si="12"/>
        <v>8860702</v>
      </c>
      <c r="K82" s="192" t="s">
        <v>4905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30">
      <c r="I83" s="241" t="s">
        <v>4922</v>
      </c>
      <c r="J83" s="86">
        <f>L83-L82+31412200</f>
        <v>20439704</v>
      </c>
      <c r="K83" s="192" t="s">
        <v>4913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4923</v>
      </c>
      <c r="J84" s="189">
        <f t="shared" si="12"/>
        <v>21224293</v>
      </c>
      <c r="K84" s="190" t="s">
        <v>4924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4937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>
      <c r="I87" s="243" t="s">
        <v>4951</v>
      </c>
      <c r="J87" s="197">
        <f>L87-L86-20000</f>
        <v>7878257</v>
      </c>
      <c r="K87" s="191" t="s">
        <v>4938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4953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4954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4997</v>
      </c>
      <c r="J90" s="197">
        <f>L90-L89-1000000</f>
        <v>3840350</v>
      </c>
      <c r="K90" s="191" t="s">
        <v>4967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4969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4983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4988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4989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4996</v>
      </c>
      <c r="J95" s="197">
        <f>L95-L94-2520000</f>
        <v>-274657</v>
      </c>
      <c r="K95" s="191" t="s">
        <v>4992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4998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5002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5005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5006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5008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5009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-5866591</v>
      </c>
      <c r="K102" s="215" t="s">
        <v>5012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17">
      <c r="I103" s="215"/>
      <c r="J103" s="113">
        <f t="shared" si="17"/>
        <v>288384</v>
      </c>
      <c r="K103" s="215" t="s">
        <v>5011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17">
      <c r="I104" s="191" t="s">
        <v>5059</v>
      </c>
      <c r="J104" s="197">
        <f>L104-L103-1400000</f>
        <v>-1688384</v>
      </c>
      <c r="K104" s="191" t="s">
        <v>5055</v>
      </c>
      <c r="L104" s="244">
        <v>716000000</v>
      </c>
      <c r="M104" s="244">
        <v>322000000</v>
      </c>
      <c r="N104" s="197">
        <f t="shared" si="22"/>
        <v>1038000000</v>
      </c>
      <c r="O104" s="197">
        <f t="shared" si="23"/>
        <v>1611506</v>
      </c>
      <c r="P104" s="197">
        <f>N104-N103-1400000</f>
        <v>-76878</v>
      </c>
    </row>
    <row r="105" spans="9:17">
      <c r="I105" s="215"/>
      <c r="J105" s="113">
        <f t="shared" si="17"/>
        <v>8529471</v>
      </c>
      <c r="K105" s="215" t="s">
        <v>5057</v>
      </c>
      <c r="L105" s="84">
        <v>724529471</v>
      </c>
      <c r="M105" s="84">
        <v>326836192</v>
      </c>
      <c r="N105" s="113">
        <f t="shared" si="22"/>
        <v>1051365663</v>
      </c>
      <c r="O105" s="113">
        <f t="shared" si="23"/>
        <v>4836192</v>
      </c>
      <c r="P105" s="113">
        <f t="shared" si="24"/>
        <v>13365663</v>
      </c>
    </row>
    <row r="106" spans="9:17">
      <c r="I106" s="190" t="s">
        <v>5061</v>
      </c>
      <c r="J106" s="189">
        <f>L106-L105-1550000</f>
        <v>16319322</v>
      </c>
      <c r="K106" s="190" t="s">
        <v>5060</v>
      </c>
      <c r="L106" s="242">
        <v>742398793</v>
      </c>
      <c r="M106" s="242">
        <v>333388204</v>
      </c>
      <c r="N106" s="189">
        <f t="shared" si="22"/>
        <v>1075786997</v>
      </c>
      <c r="O106" s="189">
        <f>M106-M105-1550000</f>
        <v>5002012</v>
      </c>
      <c r="P106" s="189">
        <f>N106-N105-3100000</f>
        <v>21321334</v>
      </c>
    </row>
    <row r="107" spans="9:17">
      <c r="I107" s="215"/>
      <c r="J107" s="113">
        <f t="shared" si="17"/>
        <v>7585832</v>
      </c>
      <c r="K107" s="215" t="s">
        <v>5064</v>
      </c>
      <c r="L107" s="84">
        <v>749984625</v>
      </c>
      <c r="M107" s="84">
        <v>336802679</v>
      </c>
      <c r="N107" s="113">
        <f t="shared" si="22"/>
        <v>1086787304</v>
      </c>
      <c r="O107" s="113">
        <f t="shared" si="23"/>
        <v>3414475</v>
      </c>
      <c r="P107" s="113">
        <f t="shared" si="24"/>
        <v>11000307</v>
      </c>
    </row>
    <row r="108" spans="9:17">
      <c r="I108" s="215"/>
      <c r="J108" s="113">
        <f t="shared" si="17"/>
        <v>-749984625</v>
      </c>
      <c r="K108" s="215"/>
      <c r="L108" s="84"/>
      <c r="M108" s="84"/>
      <c r="N108" s="113">
        <f t="shared" si="22"/>
        <v>0</v>
      </c>
      <c r="O108" s="113">
        <f t="shared" si="23"/>
        <v>-336802679</v>
      </c>
      <c r="P108" s="113">
        <f t="shared" si="24"/>
        <v>-1086787304</v>
      </c>
    </row>
    <row r="109" spans="9:17">
      <c r="I109" s="215"/>
      <c r="J109" s="113">
        <f t="shared" si="17"/>
        <v>0</v>
      </c>
      <c r="K109" s="215"/>
      <c r="L109" s="84"/>
      <c r="M109" s="84"/>
      <c r="N109" s="113">
        <f t="shared" si="22"/>
        <v>0</v>
      </c>
      <c r="O109" s="113">
        <f t="shared" si="23"/>
        <v>0</v>
      </c>
      <c r="P109" s="113">
        <f t="shared" si="24"/>
        <v>0</v>
      </c>
    </row>
    <row r="110" spans="9:17">
      <c r="I110" s="215"/>
      <c r="J110" s="113">
        <f t="shared" si="17"/>
        <v>0</v>
      </c>
      <c r="K110" s="215"/>
      <c r="L110" s="84"/>
      <c r="M110" s="84"/>
      <c r="N110" s="113">
        <f t="shared" si="22"/>
        <v>0</v>
      </c>
      <c r="O110" s="113">
        <f t="shared" si="23"/>
        <v>0</v>
      </c>
      <c r="P110" s="113">
        <f t="shared" si="24"/>
        <v>0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4913</v>
      </c>
      <c r="B45" s="113">
        <v>2060725</v>
      </c>
      <c r="C45" s="99" t="s">
        <v>4918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4949</v>
      </c>
      <c r="B46" s="113">
        <v>-1073169</v>
      </c>
      <c r="C46" s="99" t="s">
        <v>4950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4938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4938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4954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4969</v>
      </c>
      <c r="B52" s="113">
        <v>-195330</v>
      </c>
      <c r="C52" s="99" t="s">
        <v>4976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4983</v>
      </c>
      <c r="B53" s="113">
        <v>-140730</v>
      </c>
      <c r="C53" s="99" t="s">
        <v>4990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4898</v>
      </c>
      <c r="B20" s="18">
        <v>400000</v>
      </c>
      <c r="C20" s="18">
        <v>0</v>
      </c>
      <c r="D20" s="113">
        <f t="shared" si="0"/>
        <v>400000</v>
      </c>
      <c r="E20" s="19" t="s">
        <v>4900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4913</v>
      </c>
      <c r="B28" s="18">
        <v>433375</v>
      </c>
      <c r="C28" s="18">
        <v>0</v>
      </c>
      <c r="D28" s="113">
        <f t="shared" si="0"/>
        <v>433375</v>
      </c>
      <c r="E28" s="19" t="s">
        <v>4918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4924</v>
      </c>
      <c r="B30" s="18">
        <v>-300000</v>
      </c>
      <c r="C30" s="18">
        <v>0</v>
      </c>
      <c r="D30" s="113">
        <f t="shared" si="0"/>
        <v>-300000</v>
      </c>
      <c r="E30" s="19" t="s">
        <v>4927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4935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4901</v>
      </c>
      <c r="G70" t="s">
        <v>25</v>
      </c>
    </row>
    <row r="71" spans="1:22">
      <c r="D71" s="18">
        <v>463200</v>
      </c>
      <c r="E71" s="122" t="s">
        <v>4903</v>
      </c>
    </row>
    <row r="72" spans="1:22">
      <c r="D72" s="18">
        <v>2000000</v>
      </c>
      <c r="E72" s="96" t="s">
        <v>4906</v>
      </c>
    </row>
    <row r="73" spans="1:22">
      <c r="D73" s="18">
        <v>-280000</v>
      </c>
      <c r="E73" t="s">
        <v>4910</v>
      </c>
    </row>
    <row r="74" spans="1:22">
      <c r="D74" s="18">
        <v>-200000</v>
      </c>
      <c r="E74" s="96" t="s">
        <v>4919</v>
      </c>
    </row>
    <row r="75" spans="1:22">
      <c r="D75" s="18">
        <v>-2000000</v>
      </c>
      <c r="E75" s="96" t="s">
        <v>4925</v>
      </c>
    </row>
    <row r="76" spans="1:22">
      <c r="D76" s="18">
        <v>92800</v>
      </c>
      <c r="E76" s="96" t="s">
        <v>4931</v>
      </c>
    </row>
    <row r="77" spans="1:22">
      <c r="D77" s="18">
        <v>1417727</v>
      </c>
      <c r="E77" s="96" t="s">
        <v>4935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0" t="s">
        <v>1089</v>
      </c>
      <c r="R21" s="250"/>
      <c r="S21" s="250"/>
      <c r="T21" s="250"/>
      <c r="U21" s="96"/>
      <c r="V21" s="96"/>
      <c r="W21" s="96"/>
      <c r="X21" s="96"/>
      <c r="Y21" s="96"/>
      <c r="Z21" s="96"/>
    </row>
    <row r="22" spans="5:35">
      <c r="O22" s="99"/>
      <c r="P22" s="99"/>
      <c r="Q22" s="250"/>
      <c r="R22" s="250"/>
      <c r="S22" s="250"/>
      <c r="T22" s="25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1" t="s">
        <v>1090</v>
      </c>
      <c r="R23" s="252" t="s">
        <v>1091</v>
      </c>
      <c r="S23" s="251" t="s">
        <v>1092</v>
      </c>
      <c r="T23" s="253" t="s">
        <v>1093</v>
      </c>
      <c r="AD23" t="s">
        <v>25</v>
      </c>
    </row>
    <row r="24" spans="5:35">
      <c r="O24" s="99"/>
      <c r="P24" s="99"/>
      <c r="Q24" s="251"/>
      <c r="R24" s="252"/>
      <c r="S24" s="251"/>
      <c r="T24" s="25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workbookViewId="0">
      <selection activeCell="H32" sqref="H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4898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4898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4913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4924</v>
      </c>
      <c r="B25" s="95">
        <v>0</v>
      </c>
      <c r="C25" s="95">
        <v>1000</v>
      </c>
      <c r="D25" s="99" t="s">
        <v>315</v>
      </c>
    </row>
    <row r="26" spans="1:9">
      <c r="A26" s="99" t="s">
        <v>4967</v>
      </c>
      <c r="B26" s="95">
        <v>0</v>
      </c>
      <c r="C26" s="95">
        <v>12000</v>
      </c>
      <c r="D26" s="99" t="s">
        <v>4982</v>
      </c>
    </row>
    <row r="27" spans="1:9">
      <c r="A27" s="99" t="s">
        <v>4969</v>
      </c>
      <c r="B27" s="95">
        <v>0</v>
      </c>
      <c r="C27" s="95">
        <v>1000</v>
      </c>
      <c r="D27" s="99" t="s">
        <v>315</v>
      </c>
    </row>
    <row r="28" spans="1:9">
      <c r="A28" s="99" t="s">
        <v>4983</v>
      </c>
      <c r="B28" s="95">
        <v>0</v>
      </c>
      <c r="C28" s="95">
        <v>1000</v>
      </c>
      <c r="D28" s="99" t="s">
        <v>315</v>
      </c>
    </row>
    <row r="29" spans="1:9">
      <c r="A29" s="99" t="s">
        <v>4988</v>
      </c>
      <c r="B29" s="95">
        <v>0</v>
      </c>
      <c r="C29" s="95">
        <v>1000</v>
      </c>
      <c r="D29" s="99" t="s">
        <v>315</v>
      </c>
    </row>
    <row r="30" spans="1:9">
      <c r="A30" s="99" t="s">
        <v>4989</v>
      </c>
      <c r="B30" s="95">
        <v>0</v>
      </c>
      <c r="C30" s="95">
        <v>5500</v>
      </c>
      <c r="D30" s="99" t="s">
        <v>4763</v>
      </c>
    </row>
    <row r="31" spans="1:9">
      <c r="A31" s="99" t="s">
        <v>4989</v>
      </c>
      <c r="B31" s="95">
        <v>11000</v>
      </c>
      <c r="C31" s="95">
        <v>0</v>
      </c>
      <c r="D31" s="99" t="s">
        <v>4762</v>
      </c>
    </row>
    <row r="32" spans="1:9">
      <c r="A32" s="99" t="s">
        <v>4998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5002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5005</v>
      </c>
      <c r="B34" s="95">
        <v>0</v>
      </c>
      <c r="C34" s="95">
        <v>1000</v>
      </c>
      <c r="D34" s="99" t="s">
        <v>315</v>
      </c>
    </row>
    <row r="35" spans="1:10">
      <c r="A35" s="99" t="s">
        <v>5006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5011</v>
      </c>
      <c r="B36" s="95">
        <v>1000</v>
      </c>
      <c r="C36" s="95">
        <v>0</v>
      </c>
      <c r="D36" s="99" t="s">
        <v>315</v>
      </c>
    </row>
    <row r="37" spans="1:10">
      <c r="A37" s="99" t="s">
        <v>5011</v>
      </c>
      <c r="B37" s="95">
        <v>0</v>
      </c>
      <c r="C37" s="95">
        <v>11200</v>
      </c>
      <c r="D37" s="99" t="s">
        <v>4762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4793</v>
      </c>
      <c r="B48" s="226">
        <v>6700</v>
      </c>
      <c r="C48" s="226">
        <v>0</v>
      </c>
      <c r="D48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2019-04-30T09:04:43Z</dcterms:modified>
</cp:coreProperties>
</file>