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58" i="52" l="1"/>
  <c r="N46" i="18" l="1"/>
  <c r="L44" i="18"/>
  <c r="L48" i="18" l="1"/>
  <c r="P196" i="18" l="1"/>
  <c r="W350" i="18"/>
  <c r="O256" i="52"/>
  <c r="J253" i="52" l="1"/>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1" i="52" l="1"/>
  <c r="P255" i="52"/>
  <c r="P263" i="52"/>
  <c r="P259" i="52"/>
  <c r="P256" i="52"/>
  <c r="P264" i="52"/>
  <c r="P260" i="52"/>
  <c r="P267" i="52"/>
  <c r="P265" i="52"/>
  <c r="P257" i="52"/>
  <c r="P254" i="52"/>
  <c r="O247" i="52"/>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P247" i="52" l="1"/>
  <c r="P245" i="52"/>
  <c r="P269" i="52"/>
  <c r="P252" i="52"/>
  <c r="P251" i="52"/>
  <c r="P249" i="52"/>
  <c r="P250" i="52"/>
  <c r="P248" i="52"/>
  <c r="P246" i="52"/>
  <c r="P244" i="52"/>
  <c r="P243" i="52"/>
  <c r="P242" i="52"/>
  <c r="P241" i="52"/>
  <c r="J238" i="52"/>
  <c r="J233" i="52" l="1"/>
  <c r="N230" i="52" l="1"/>
  <c r="O227" i="52" l="1"/>
  <c r="W349" i="18"/>
  <c r="W348" i="18"/>
  <c r="W347" i="18"/>
  <c r="O223" i="52" l="1"/>
  <c r="W346" i="18"/>
  <c r="J222" i="52" l="1"/>
  <c r="W345"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X179" i="18"/>
  <c r="V180" i="18"/>
  <c r="G196" i="13"/>
  <c r="G199" i="13" s="1"/>
  <c r="J199" i="20"/>
  <c r="G198" i="20"/>
  <c r="K199" i="20"/>
  <c r="I199" i="20"/>
  <c r="G102" i="13"/>
  <c r="G103" i="13"/>
  <c r="U14" i="32"/>
  <c r="L14" i="32" s="1"/>
  <c r="Q9" i="32"/>
  <c r="R9" i="32"/>
  <c r="Y5" i="33"/>
  <c r="V182" i="18" l="1"/>
  <c r="S183" i="18"/>
  <c r="W182" i="18"/>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S184" i="18" l="1"/>
  <c r="V183" i="18"/>
  <c r="W181" i="18"/>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3" i="18" l="1"/>
  <c r="X183" i="18"/>
  <c r="S185" i="18"/>
  <c r="V185" i="18" s="1"/>
  <c r="V184"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X184" i="18"/>
  <c r="W185" i="18"/>
  <c r="X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<sst xmlns="http://schemas.openxmlformats.org/spreadsheetml/2006/main" count="12949" uniqueCount="5439">
  <si>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</si>
  <si>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</si>
  <si>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</si>
  <si>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</si>
  <si>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</si>
  <si>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</si>
  <si>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</si>
  <si>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</si>
  <si>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</si>
  <si>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</si>
  <si>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</si>
  <si>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</si>
  <si>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</si>
  <si>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</si>
  <si>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</si>
  <si>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</si>
  <si>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</si>
  <si>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</si>
  <si>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</si>
  <si>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</si>
  <si>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</si>
  <si>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</si>
  <si>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</si>
  <si>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</si>
  <si>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</si>
  <si>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</si>
  <si>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</si>
  <si>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</si>
  <si>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</si>
  <si>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</si>
  <si>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</si>
  <si>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</si>
  <si>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</si>
  <si>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</si>
  <si>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</si>
  <si>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</si>
  <si>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</si>
  <si>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</si>
  <si>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</si>
  <si>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</si>
  <si>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</si>
  <si>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</si>
  <si>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</si>
  <si>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</si>
  <si>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</si>
  <si>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</si>
  <si>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</si>
  <si>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</si>
  <si>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</si>
  <si>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</si>
  <si>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</si>
  <si>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</si>
  <si>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</si>
  <si>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</si>
  <si>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</si>
  <si>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</si>
  <si>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</si>
  <si>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</si>
  <si>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</si>
  <si>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</si>
  <si>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</si>
  <si>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</si>
  <si>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</si>
  <si>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</si>
  <si>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</si>
  <si>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</si>
  <si>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</si>
  <si>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</si>
  <si>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</si>
  <si>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</si>
  <si>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</si>
  <si>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</si>
  <si>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</si>
  <si>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</si>
  <si>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</si>
  <si>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</si>
  <si>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</si>
  <si>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</si>
  <si>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</si>
  <si>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</si>
  <si>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</si>
  <si>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</si>
  <si>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</si>
  <si>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</si>
  <si>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</si>
  <si>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</si>
  <si>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</si>
  <si>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</si>
  <si>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</si>
  <si>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</si>
  <si>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</si>
  <si>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</si>
  <si>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</si>
  <si>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</si>
  <si>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</si>
  <si>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</si>
  <si>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</si>
  <si>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</si>
  <si>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</si>
  <si>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</si>
  <si>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</si>
  <si>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</si>
  <si>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</si>
  <si>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</si>
  <si>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</si>
  <si>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</si>
  <si>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</si>
  <si>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</si>
  <si>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</si>
  <si>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</si>
  <si>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</si>
  <si>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</si>
  <si>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</si>
  <si>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</si>
  <si>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</si>
  <si>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</si>
  <si>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</si>
  <si>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</si>
  <si>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</si>
  <si>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</si>
  <si>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</si>
  <si>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</si>
  <si>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</si>
  <si>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</si>
  <si>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</si>
  <si>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</si>
  <si>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</si>
  <si>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</si>
  <si>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</si>
  <si>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</si>
  <si>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</si>
  <si>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</si>
  <si>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</si>
  <si>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</si>
  <si>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</si>
  <si>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</si>
  <si>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</si>
  <si>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</si>
  <si>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</si>
  <si>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</si>
  <si>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</si>
  <si>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</si>
  <si>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</si>
  <si>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</si>
  <si>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</si>
  <si>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</si>
  <si>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</si>
  <si>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</si>
  <si>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</si>
  <si>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</si>
  <si>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</si>
  <si>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</si>
  <si>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</si>
  <si>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</si>
  <si>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</si>
  <si>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</si>
  <si>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</si>
  <si>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</si>
  <si>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</si>
  <si>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</si>
  <si>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</si>
  <si>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</si>
  <si>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</si>
  <si>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</si>
  <si>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</si>
  <si>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</si>
  <si>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</si>
  <si>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</si>
  <si>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</si>
  <si>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</si>
  <si>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</si>
  <si>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</si>
  <si>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</si>
  <si>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</si>
  <si>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</si>
  <si>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</si>
  <si>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</si>
  <si>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</si>
  <si>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</si>
  <si>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</si>
  <si>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</si>
  <si>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</si>
  <si>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</si>
  <si>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</si>
  <si>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</si>
  <si>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</si>
  <si>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</si>
  <si>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</si>
  <si>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</si>
  <si>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</si>
  <si>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</si>
  <si>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</si>
  <si>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</si>
  <si>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</si>
  <si>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</si>
  <si>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</si>
  <si>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</si>
  <si>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</si>
  <si>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</si>
  <si>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</si>
  <si>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</si>
  <si>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</si>
  <si>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</si>
  <si>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</si>
  <si>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</si>
  <si>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</si>
  <si>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</si>
  <si>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</si>
  <si>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</si>
  <si>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</si>
  <si>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</si>
  <si>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</si>
  <si>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</si>
  <si>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</si>
  <si>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</si>
  <si>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</si>
  <si>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</si>
  <si>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</si>
  <si>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</si>
  <si>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</si>
  <si>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</si>
  <si>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</si>
  <si>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</si>
  <si>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</si>
  <si>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</si>
  <si>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</si>
  <si>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</si>
  <si>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</si>
  <si>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</si>
  <si>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</si>
  <si>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</si>
  <si>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</si>
  <si>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</si>
  <si>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</si>
  <si>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</si>
  <si>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</si>
  <si>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</si>
  <si>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</si>
  <si>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</si>
  <si>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</si>
  <si>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</si>
  <si>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</si>
  <si>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</si>
  <si>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</si>
  <si>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</si>
  <si>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</si>
  <si>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</si>
  <si>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</si>
  <si>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</si>
  <si>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</si>
  <si>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</si>
  <si>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</si>
  <si>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</si>
  <si>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</si>
  <si>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</si>
  <si>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</si>
  <si>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</si>
  <si>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</si>
  <si>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</si>
  <si>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</si>
  <si>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</si>
  <si>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</si>
  <si>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</si>
  <si>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</si>
  <si>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</si>
  <si>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</si>
  <si>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</si>
  <si>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</si>
  <si>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</si>
  <si>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</si>
  <si>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</si>
  <si>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</si>
  <si>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</si>
  <si>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</si>
  <si>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</si>
  <si>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</si>
  <si>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</si>
  <si>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</si>
  <si>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</si>
  <si>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</si>
  <si>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</si>
  <si>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</si>
  <si>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</si>
  <si>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</si>
  <si>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</si>
  <si>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</si>
  <si>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</si>
  <si>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</si>
  <si>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</si>
  <si>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</si>
  <si>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</si>
  <si>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</si>
  <si>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</si>
  <si>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</si>
  <si>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</si>
  <si>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</si>
  <si>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</si>
  <si>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</si>
  <si>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</si>
  <si>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</si>
  <si>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</si>
  <si>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</si>
  <si>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</si>
  <si>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</si>
  <si>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</si>
  <si>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</si>
  <si>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</si>
  <si>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</si>
  <si>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</si>
  <si>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</si>
  <si>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</si>
  <si>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</si>
  <si>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</si>
  <si>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</si>
  <si>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</si>
  <si>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</si>
  <si>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</si>
  <si>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</si>
  <si>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</si>
  <si>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</si>
  <si>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</si>
  <si>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</si>
  <si>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</si>
  <si>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</si>
  <si>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</si>
  <si>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</si>
  <si>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</si>
  <si>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</si>
  <si>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</si>
  <si>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</si>
  <si>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</si>
  <si>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</si>
  <si>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</si>
  <si>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</si>
  <si>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</si>
  <si>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</si>
  <si>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</si>
  <si>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</si>
  <si>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</si>
  <si>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</si>
  <si>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</si>
  <si>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</si>
  <si>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</si>
  <si>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</si>
  <si>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</si>
  <si>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</si>
  <si>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</si>
  <si>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</si>
  <si>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</si>
  <si>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</si>
  <si>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</si>
  <si>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</si>
  <si>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</si>
  <si>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</si>
  <si>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</si>
  <si>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</si>
  <si>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</si>
  <si>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</si>
  <si>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</si>
  <si>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</si>
  <si>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</si>
  <si>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</si>
  <si>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</si>
  <si>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</si>
  <si>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</si>
  <si>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</si>
  <si>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</si>
  <si>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</si>
  <si>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</si>
  <si>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</si>
  <si>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</si>
  <si>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</si>
  <si>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</si>
  <si>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</si>
  <si>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</si>
  <si>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</si>
  <si>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</si>
  <si>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</si>
  <si>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</si>
  <si>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</si>
  <si>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</si>
  <si>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</si>
  <si>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</si>
  <si>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</si>
  <si>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</si>
  <si>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</si>
  <si>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</si>
  <si>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</si>
  <si>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</si>
  <si>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</si>
  <si>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</si>
  <si>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</si>
  <si>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</si>
  <si>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</si>
  <si>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</si>
  <si>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</si>
  <si>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</si>
  <si>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</si>
  <si>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</si>
  <si>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</si>
  <si>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</si>
  <si>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</si>
  <si>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</si>
  <si>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</si>
  <si>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</si>
  <si>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</si>
  <si>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</si>
  <si>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</si>
  <si>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</si>
  <si>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</si>
  <si>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</si>
  <si>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</si>
  <si>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</si>
  <si>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</si>
  <si>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</si>
  <si>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</si>
  <si>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</si>
  <si>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</si>
  <si>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</si>
  <si>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</si>
  <si>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</si>
  <si>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</si>
  <si>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</si>
  <si>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</si>
  <si>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</si>
  <si>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</si>
  <si>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</si>
  <si>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</si>
  <si>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</si>
  <si>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</si>
  <si>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</si>
  <si>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</si>
  <si>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</si>
  <si>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</si>
  <si>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</si>
  <si>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</si>
  <si>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</si>
  <si>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</si>
  <si>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</si>
  <si>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</si>
  <si>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</si>
  <si>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</si>
  <si>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</si>
  <si>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</si>
  <si>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</si>
  <si>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</si>
  <si>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</si>
  <si>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</si>
  <si>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</si>
  <si>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</si>
  <si>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</si>
  <si>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</si>
  <si>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</si>
  <si>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</si>
  <si>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</si>
  <si>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</si>
  <si>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</si>
  <si>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</si>
  <si>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</si>
  <si>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</si>
  <si>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</si>
  <si>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</si>
  <si>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</si>
  <si>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</si>
  <si>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</si>
  <si>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</si>
  <si>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</si>
  <si>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</si>
  <si>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</si>
  <si>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</si>
  <si>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</si>
  <si>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</si>
  <si>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</si>
  <si>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</si>
  <si>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</si>
  <si>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</si>
  <si>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</si>
  <si>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</si>
  <si>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</si>
  <si>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</si>
  <si>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</si>
  <si>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</si>
  <si>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</si>
  <si>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</si>
  <si>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</si>
  <si>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</si>
  <si>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</si>
  <si>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</si>
  <si>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</si>
  <si>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</si>
  <si>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</si>
  <si>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</si>
  <si>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</si>
  <si>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</si>
  <si>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</si>
  <si>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</si>
  <si>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</si>
  <si>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</si>
  <si>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</si>
  <si>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</si>
  <si>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</si>
  <si>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</si>
  <si>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</si>
  <si>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</si>
  <si>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</si>
  <si>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</si>
  <si>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</si>
  <si>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</si>
  <si>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</si>
  <si>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</si>
  <si>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</si>
  <si>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</si>
  <si>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</si>
  <si>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</si>
  <si>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</si>
  <si>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</si>
  <si>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</si>
  <si>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</si>
  <si>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</si>
  <si>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</si>
  <si>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</si>
  <si>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</si>
  <si>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</si>
  <si>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</si>
  <si>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</si>
  <si>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</si>
  <si>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</si>
  <si>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</si>
  <si>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</si>
  <si>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</si>
  <si>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</si>
  <si>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</si>
  <si>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</si>
  <si>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</si>
  <si>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</si>
  <si>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</si>
  <si>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</si>
  <si>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</si>
  <si>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</si>
  <si>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</si>
  <si>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</si>
  <si>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</si>
  <si>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</si>
  <si>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</si>
  <si>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</si>
  <si>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</si>
  <si>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</si>
  <si>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</si>
  <si>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</si>
  <si>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</si>
  <si>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</si>
  <si>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</si>
  <si>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</si>
  <si>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</si>
  <si>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</si>
  <si>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</si>
  <si>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</si>
  <si>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</si>
  <si>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</si>
  <si>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</si>
  <si>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</si>
  <si>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</si>
  <si>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</si>
  <si>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</si>
  <si>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</si>
  <si>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</si>
  <si>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</si>
  <si>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</si>
  <si>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</si>
  <si>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</si>
  <si>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</si>
  <si>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</si>
  <si>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</si>
  <si>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</si>
  <si>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</si>
  <si>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</si>
  <si>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</si>
  <si>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</si>
  <si>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</si>
  <si>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</si>
  <si>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</si>
  <si>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</si>
  <si>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</si>
  <si>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</si>
  <si>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</si>
  <si>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</si>
  <si>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</si>
  <si>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</si>
  <si>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</si>
  <si>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</si>
  <si>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</si>
  <si>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</si>
  <si>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</si>
  <si>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</si>
  <si>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</si>
  <si>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</si>
  <si>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</si>
  <si>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</si>
  <si>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</si>
  <si>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</si>
  <si>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</si>
  <si>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</si>
  <si>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</si>
  <si>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</si>
  <si>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</si>
  <si>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</si>
  <si>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</si>
  <si>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</si>
  <si>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</si>
  <si>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</si>
  <si>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</si>
  <si>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</si>
  <si>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</si>
  <si>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</si>
  <si>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</si>
  <si>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</si>
  <si>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</si>
  <si>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</si>
  <si>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</si>
  <si>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</si>
  <si>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</si>
  <si>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</si>
  <si>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</si>
  <si>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</si>
  <si>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</si>
  <si>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</si>
  <si>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</si>
  <si>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</si>
  <si>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</si>
  <si>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</si>
  <si>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</si>
  <si>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</si>
  <si>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</si>
  <si>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</si>
  <si>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</si>
  <si>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</si>
  <si>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</si>
  <si>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</si>
  <si>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</si>
  <si>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</si>
  <si>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</si>
  <si>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</si>
  <si>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</si>
  <si>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</si>
  <si>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</si>
  <si>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</si>
  <si>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</si>
  <si>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</si>
  <si>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</si>
  <si>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</si>
  <si>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</si>
  <si>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</si>
  <si>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</si>
  <si>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</si>
  <si>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</si>
  <si>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</si>
  <si>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</si>
  <si>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</si>
  <si>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</si>
  <si>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</si>
  <si>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</si>
  <si>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</si>
  <si>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</si>
  <si>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</si>
  <si>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</si>
  <si>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</si>
  <si>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</si>
  <si>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</si>
  <si>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</si>
  <si>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</si>
  <si>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</si>
  <si>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</si>
  <si>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</si>
  <si>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</si>
  <si>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</si>
  <si>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</si>
  <si>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</si>
  <si>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</si>
  <si>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</si>
  <si>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</si>
  <si>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</si>
  <si>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</si>
  <si>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</si>
  <si>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</si>
  <si>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</si>
  <si>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</si>
  <si>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</si>
  <si>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</si>
  <si>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</si>
  <si>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</si>
  <si>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</si>
  <si>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</si>
  <si>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</si>
  <si>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</si>
  <si>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</si>
  <si>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</si>
  <si>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</si>
  <si>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</si>
  <si>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</si>
  <si>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</si>
  <si>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</si>
  <si>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</si>
  <si>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</si>
  <si>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</si>
  <si>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</si>
  <si>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</si>
  <si>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</si>
  <si>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</si>
  <si>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</si>
  <si>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</si>
  <si>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</si>
  <si>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</si>
  <si>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</si>
  <si>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</si>
  <si>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</si>
  <si>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</si>
  <si>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</si>
  <si>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</si>
  <si>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</si>
  <si>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</si>
  <si>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</si>
  <si>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</si>
  <si>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</si>
  <si>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</si>
  <si>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</si>
  <si>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</si>
  <si>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</si>
  <si>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</si>
  <si>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</si>
  <si>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</si>
  <si>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</si>
  <si>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</si>
  <si>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</si>
  <si>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</si>
  <si>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</si>
  <si>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</si>
  <si>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</si>
  <si>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</si>
  <si>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</si>
  <si>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</si>
  <si>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</si>
  <si>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</si>
  <si>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</si>
  <si>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</si>
  <si>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</si>
  <si>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</si>
  <si>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</si>
  <si>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</si>
  <si>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</si>
  <si>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</si>
  <si>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</si>
  <si>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</si>
  <si>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</si>
  <si>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</si>
  <si>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</si>
  <si>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</si>
  <si>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</si>
  <si>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</si>
  <si>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</si>
  <si>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</si>
  <si>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</si>
  <si>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</si>
  <si>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</si>
  <si>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</si>
  <si>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</si>
  <si>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</si>
  <si>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</si>
  <si>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</si>
  <si>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</si>
  <si>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</si>
  <si>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</si>
  <si>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</si>
  <si>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</si>
  <si>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</si>
  <si>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</si>
  <si>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</si>
  <si>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</si>
  <si>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</si>
  <si>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</si>
  <si>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</si>
  <si>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</si>
  <si>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</si>
  <si>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</si>
  <si>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</si>
  <si>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</si>
  <si>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</si>
  <si>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</si>
  <si>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</si>
  <si>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</si>
  <si>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</si>
  <si>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</si>
  <si>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</si>
  <si>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</si>
  <si>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</si>
  <si>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</si>
  <si>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</si>
  <si>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</si>
  <si>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</si>
  <si>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</si>
  <si>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</si>
  <si>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</si>
  <si>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</si>
  <si>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</si>
  <si>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</si>
  <si>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</si>
  <si>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</si>
  <si>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</si>
  <si>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</si>
  <si>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</si>
  <si>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</si>
  <si>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</si>
  <si>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</si>
  <si>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</si>
  <si>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</si>
  <si>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</si>
  <si>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</si>
  <si>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</si>
  <si>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</si>
  <si>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</si>
  <si>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</si>
  <si>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</si>
  <si>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</si>
  <si>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</si>
  <si>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</si>
  <si>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</si>
  <si>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</si>
  <si>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</si>
  <si>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</si>
  <si>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</si>
  <si>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</si>
  <si>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</si>
  <si>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</si>
  <si>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</si>
  <si>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</si>
  <si>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</si>
  <si>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</si>
  <si>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</si>
  <si>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</si>
  <si>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</si>
  <si>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</si>
  <si>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</si>
  <si>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</si>
  <si>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</si>
  <si>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</si>
  <si>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</si>
  <si>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</si>
  <si>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</si>
  <si>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</si>
  <si>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</si>
  <si>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</si>
  <si>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</si>
  <si>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</si>
  <si>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</si>
  <si>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</si>
  <si>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</si>
  <si>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</si>
  <si>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</si>
  <si>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</si>
  <si>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</si>
  <si>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</si>
  <si>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</si>
  <si>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</si>
  <si>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</si>
  <si>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</si>
  <si>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</si>
  <si>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</si>
  <si>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</si>
  <si>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</si>
  <si>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</si>
  <si>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</si>
  <si>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</si>
  <si>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</si>
  <si>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</si>
  <si>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</si>
  <si>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</si>
  <si>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</si>
  <si>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</si>
  <si>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</si>
  <si>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</si>
  <si>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</si>
  <si>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</si>
  <si>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</si>
  <si>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</si>
  <si>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</si>
  <si>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</si>
  <si>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</si>
  <si>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</si>
  <si>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</si>
  <si>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</si>
  <si>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</si>
  <si>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</si>
  <si>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</si>
  <si>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</si>
  <si>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</si>
  <si>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</si>
  <si>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</si>
  <si>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</si>
  <si>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</si>
  <si>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</si>
  <si>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</si>
  <si>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</si>
  <si>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</si>
  <si>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</si>
  <si>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</si>
  <si>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</si>
  <si>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</si>
  <si>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</si>
  <si>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</si>
  <si>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</si>
  <si>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</si>
  <si>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</si>
  <si>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</si>
  <si>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</si>
  <si>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</si>
  <si>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</si>
  <si>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</si>
  <si>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</si>
  <si>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</si>
  <si>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</si>
  <si>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</si>
  <si>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</si>
  <si>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</si>
  <si>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</si>
  <si>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</si>
  <si>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</si>
  <si>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</si>
  <si>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</si>
  <si>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</si>
  <si>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</si>
  <si>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</si>
  <si>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</si>
  <si>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</si>
  <si>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</si>
  <si>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</si>
  <si>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</si>
  <si>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</si>
  <si>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</si>
  <si>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</si>
  <si>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</si>
  <si>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</si>
  <si>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</si>
  <si>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</si>
  <si>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</si>
  <si>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</si>
  <si>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</si>
  <si>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</si>
  <si>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</si>
  <si>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</si>
  <si>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</si>
  <si>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</si>
  <si>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</si>
  <si>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</si>
  <si>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</si>
  <si>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</si>
  <si>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</si>
  <si>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</si>
  <si>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</si>
  <si>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</si>
  <si>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</si>
  <si>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</si>
  <si>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</si>
  <si>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</si>
  <si>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</si>
  <si>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</si>
  <si>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</si>
  <si>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</si>
  <si>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</si>
  <si>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</si>
  <si>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</si>
  <si>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</si>
  <si>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</si>
  <si>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</si>
  <si>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</si>
  <si>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</si>
  <si>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</si>
  <si>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</si>
  <si>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</si>
  <si>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</si>
  <si>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</si>
  <si>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</si>
  <si>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</si>
  <si>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</si>
  <si>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</si>
  <si>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</si>
  <si>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</si>
  <si>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</si>
  <si>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</si>
  <si>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</si>
  <si>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</si>
  <si>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</si>
  <si>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</si>
  <si>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</si>
  <si>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</si>
  <si>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</si>
  <si>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</si>
  <si>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</si>
  <si>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</si>
  <si>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</si>
  <si>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</si>
  <si>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</si>
  <si>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</si>
  <si>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</si>
  <si>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</si>
  <si>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</si>
  <si>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</si>
  <si>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</si>
  <si>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</si>
  <si>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</si>
  <si>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</si>
  <si>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</si>
  <si>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</si>
  <si>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</si>
  <si>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</si>
  <si>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</si>
  <si>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</si>
  <si>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</si>
  <si>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</si>
  <si>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</si>
  <si>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</si>
  <si>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</si>
  <si>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</si>
  <si>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</si>
  <si>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</si>
  <si>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</si>
  <si>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</si>
  <si>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</si>
  <si>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</si>
  <si>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</si>
  <si>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</si>
  <si>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</si>
  <si>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</si>
  <si>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</si>
  <si>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</si>
  <si>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</si>
  <si>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</si>
  <si>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</si>
  <si>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</si>
  <si>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</si>
  <si>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</si>
  <si>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</si>
  <si>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</si>
  <si>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</si>
  <si>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</si>
  <si>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</si>
  <si>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</si>
  <si>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</si>
  <si>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</si>
  <si>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</si>
  <si>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</si>
  <si>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</si>
  <si>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</si>
  <si>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</si>
  <si>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</si>
  <si>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</si>
  <si>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</si>
  <si>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</si>
  <si>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</si>
  <si>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</si>
  <si>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</si>
  <si>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</si>
  <si>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</si>
  <si>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</si>
  <si>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</si>
  <si>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</si>
  <si>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</si>
  <si>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</si>
  <si>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</si>
  <si>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</si>
  <si>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</si>
  <si>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</si>
  <si>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</si>
  <si>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</si>
  <si>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</si>
  <si>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</si>
  <si>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</si>
  <si>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</si>
  <si>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</si>
  <si>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</si>
  <si>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</si>
  <si>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</si>
  <si>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</si>
  <si>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</si>
  <si>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</si>
  <si>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</si>
  <si>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</si>
  <si>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</si>
  <si>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</si>
  <si>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</si>
  <si>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</si>
  <si>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</si>
  <si>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</si>
  <si>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</si>
  <si>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</si>
  <si>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</si>
  <si>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</si>
  <si>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</si>
  <si>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</si>
  <si>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</si>
  <si>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</si>
  <si>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</si>
  <si>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</si>
  <si>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</si>
  <si>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</si>
  <si>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</si>
  <si>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</si>
  <si>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</si>
  <si>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</si>
  <si>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</si>
  <si>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</si>
  <si>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</si>
  <si>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</si>
  <si>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</si>
  <si>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</si>
  <si>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</si>
  <si>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</si>
  <si>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</si>
  <si>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</si>
  <si>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</si>
  <si>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</si>
  <si>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</si>
  <si>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</si>
  <si>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</si>
  <si>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</si>
  <si>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</si>
  <si>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</si>
  <si>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</si>
  <si>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</si>
  <si>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</si>
  <si>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</si>
  <si>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</si>
  <si>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</si>
  <si>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</si>
  <si>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</si>
  <si>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</si>
  <si>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</si>
  <si>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</si>
  <si>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</si>
  <si>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</si>
  <si>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</si>
  <si>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</si>
  <si>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</si>
  <si>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</si>
  <si>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</si>
  <si>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</si>
  <si>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</si>
  <si>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</si>
  <si>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</si>
  <si>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</si>
  <si>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</si>
  <si>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</si>
  <si>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</si>
  <si>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</si>
  <si>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</si>
  <si>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</si>
  <si>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</si>
  <si>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</si>
  <si>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</si>
  <si>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</si>
  <si>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</si>
  <si>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</si>
  <si>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</si>
  <si>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</si>
  <si>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</si>
  <si>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</si>
  <si>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</si>
  <si>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</si>
  <si>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</si>
  <si>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</si>
  <si>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</si>
  <si>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</si>
  <si>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</si>
  <si>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</si>
  <si>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</si>
  <si>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</si>
  <si>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</si>
  <si>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</si>
  <si>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</si>
  <si>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</si>
  <si>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</si>
  <si>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</si>
  <si>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</si>
  <si>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</si>
  <si>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</si>
  <si>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</si>
  <si>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</si>
  <si>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</si>
  <si>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</si>
  <si>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</si>
  <si>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</si>
  <si>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</si>
  <si>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</si>
  <si>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</si>
  <si>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</si>
  <si>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</si>
  <si>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</si>
  <si>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</si>
  <si>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</si>
  <si>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</si>
  <si>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</si>
  <si>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</si>
  <si>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</si>
  <si>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</si>
  <si>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</si>
  <si>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</si>
  <si>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</si>
  <si>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</si>
  <si>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</si>
  <si>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</si>
  <si>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</si>
  <si>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</si>
  <si>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</si>
  <si>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</si>
  <si>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</si>
  <si>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</si>
  <si>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</si>
  <si>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</si>
  <si>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</si>
  <si>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</si>
  <si>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</si>
  <si>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</si>
  <si>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</si>
  <si>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</si>
  <si>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</si>
  <si>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</si>
  <si>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</si>
  <si>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</si>
  <si>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</si>
  <si>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</si>
  <si>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</si>
  <si>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</si>
  <si>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</si>
  <si>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</si>
  <si>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</si>
  <si>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</si>
  <si>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</si>
  <si>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</si>
  <si>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</si>
  <si>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</si>
  <si>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</si>
  <si>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</si>
  <si>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</si>
  <si>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</si>
  <si>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</si>
  <si>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</si>
  <si>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</si>
  <si>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</si>
  <si>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</si>
  <si>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</si>
  <si>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</si>
  <si>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</si>
  <si>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</si>
  <si>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</si>
  <si>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</si>
  <si>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</si>
  <si>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</si>
  <si>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</si>
  <si>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</si>
  <si>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</si>
  <si>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</si>
  <si>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</si>
  <si>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</si>
  <si>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</si>
  <si>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</si>
  <si>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</si>
  <si>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</si>
  <si>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</si>
  <si>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</si>
  <si>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</si>
  <si>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</si>
  <si>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</si>
  <si>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</si>
  <si>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</si>
  <si>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</si>
  <si>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</si>
  <si>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</si>
  <si>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</si>
  <si>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</si>
  <si>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</si>
  <si>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</si>
  <si>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</si>
  <si>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</si>
  <si>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</si>
  <si>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</si>
  <si>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</si>
  <si>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</si>
  <si>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</si>
  <si>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</si>
  <si>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</si>
  <si>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</si>
  <si>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</si>
  <si>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</si>
  <si>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</si>
  <si>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</si>
  <si>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</si>
  <si>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</si>
  <si>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</si>
  <si>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</si>
  <si>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</si>
  <si>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</si>
  <si>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</si>
  <si>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</si>
  <si>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</si>
  <si>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</si>
  <si>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</si>
  <si>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</si>
  <si>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</si>
  <si>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</si>
  <si>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</si>
  <si>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</si>
  <si>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</si>
  <si>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</si>
  <si>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</si>
  <si>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</si>
  <si>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</si>
  <si>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</si>
  <si>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</si>
  <si>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</si>
  <si>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</si>
  <si>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</si>
  <si>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</si>
  <si>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</si>
  <si>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</si>
  <si>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</si>
  <si>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</si>
  <si>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</si>
  <si>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</si>
  <si>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</si>
  <si>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</si>
  <si>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</si>
  <si>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</si>
  <si>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</si>
  <si>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</si>
  <si>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</si>
  <si>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</si>
  <si>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</si>
  <si>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</si>
  <si>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</si>
  <si>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</si>
  <si>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</si>
  <si>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</si>
  <si>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</si>
  <si>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</si>
  <si>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</si>
  <si>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</si>
  <si>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</si>
  <si>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</si>
  <si>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</si>
  <si>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</si>
  <si>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</si>
  <si>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</si>
  <si>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</si>
  <si>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</si>
  <si>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</si>
  <si>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</si>
  <si>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</si>
  <si>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</si>
  <si>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</si>
  <si>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</si>
  <si>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</si>
  <si>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</si>
  <si>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</si>
  <si>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</si>
  <si>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</si>
  <si>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</si>
  <si>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</si>
  <si>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</si>
  <si>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</si>
  <si>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</si>
  <si>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</si>
  <si>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</si>
  <si>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</si>
  <si>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</si>
  <si>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</si>
  <si>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</si>
  <si>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</si>
  <si>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</si>
  <si>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</si>
  <si>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</si>
  <si>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</si>
  <si>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</si>
  <si>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</si>
  <si>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</si>
  <si>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</si>
  <si>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</si>
  <si>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</si>
  <si>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</si>
  <si>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</si>
  <si>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</si>
  <si>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</si>
  <si>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</si>
  <si>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</si>
  <si>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</si>
  <si>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</si>
  <si>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</si>
  <si>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</si>
  <si>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</si>
  <si>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</si>
  <si>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</si>
  <si>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</si>
  <si>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</si>
  <si>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</si>
  <si>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</si>
  <si>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</si>
  <si>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</si>
  <si>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</si>
  <si>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</si>
  <si>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</si>
  <si>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</si>
  <si>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</si>
  <si>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</si>
  <si>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</si>
  <si>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</si>
  <si>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</si>
  <si>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</si>
  <si>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</si>
  <si>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</si>
  <si>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</si>
  <si>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</si>
  <si>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</si>
  <si>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</si>
  <si>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</si>
  <si>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</si>
  <si>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</si>
  <si>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</si>
  <si>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</si>
  <si>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</si>
  <si>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</si>
  <si>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</si>
  <si>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</si>
  <si>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</si>
  <si>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</si>
  <si>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</si>
  <si>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</si>
  <si>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</si>
  <si>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</si>
  <si>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</si>
  <si>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</si>
  <si>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</si>
  <si>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</si>
  <si>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</si>
  <si>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</si>
  <si>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</si>
  <si>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</si>
  <si>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</si>
  <si>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</si>
  <si>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</si>
  <si>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</si>
  <si>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</si>
  <si>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</si>
  <si>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</si>
  <si>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</si>
  <si>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</si>
  <si>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</si>
  <si>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</si>
  <si>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</si>
  <si>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</si>
  <si>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</si>
  <si>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</si>
  <si>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</si>
  <si>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</si>
  <si>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</si>
  <si>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</si>
  <si>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</si>
  <si>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</si>
  <si>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</si>
  <si>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</si>
  <si>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</si>
  <si>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</si>
  <si>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</si>
  <si>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</si>
  <si>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</si>
  <si>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</si>
  <si>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</si>
  <si>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</si>
  <si>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</si>
  <si>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</si>
  <si>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</si>
  <si>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</si>
  <si>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</si>
  <si>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</si>
  <si>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</si>
  <si>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</si>
  <si>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</si>
  <si>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</si>
  <si>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</si>
  <si>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</si>
  <si>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</si>
  <si>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</si>
  <si>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</si>
  <si>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</si>
  <si>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</si>
  <si>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</si>
  <si>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</si>
  <si>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</si>
  <si>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</si>
  <si>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</si>
  <si>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</si>
  <si>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</si>
  <si>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</si>
  <si>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</si>
  <si>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</si>
  <si>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</si>
  <si>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</si>
  <si>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</si>
  <si>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</si>
  <si>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</si>
  <si>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</si>
  <si>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</si>
  <si>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</si>
  <si>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</si>
  <si>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</si>
  <si>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</si>
  <si>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</si>
  <si>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</si>
  <si>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</si>
  <si>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</si>
  <si>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</si>
  <si>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</si>
  <si>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</si>
  <si>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</si>
  <si>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</si>
  <si>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</si>
  <si>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</si>
  <si>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</si>
  <si>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</si>
  <si>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</si>
  <si>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</si>
  <si>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</si>
  <si>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</si>
  <si>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</si>
  <si>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</si>
  <si>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</si>
  <si>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</si>
  <si>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</si>
  <si>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</si>
  <si>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</si>
  <si>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</si>
  <si>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</si>
  <si>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</si>
  <si>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</si>
  <si>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</si>
  <si>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</si>
  <si>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</si>
  <si>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</si>
  <si>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</si>
  <si>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</si>
  <si>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</si>
  <si>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</si>
  <si>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</si>
  <si>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</si>
  <si>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</si>
  <si>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</si>
  <si>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</si>
  <si>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</si>
  <si>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</si>
  <si>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</si>
  <si>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</si>
  <si>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</si>
  <si>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</si>
  <si>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</si>
  <si>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</si>
  <si>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</si>
  <si>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</si>
  <si>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</si>
  <si>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</si>
  <si>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</si>
  <si>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</si>
  <si>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</si>
  <si>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</si>
  <si>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</si>
  <si>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</si>
  <si>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</si>
  <si>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</si>
  <si>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</si>
  <si>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</si>
  <si>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</si>
  <si>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</si>
  <si>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</si>
  <si>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</si>
  <si>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</si>
  <si>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</si>
  <si>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</si>
  <si>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</si>
  <si>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</si>
  <si>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</si>
  <si>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</si>
  <si>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</si>
  <si>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</si>
  <si>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</si>
  <si>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</si>
  <si>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</si>
  <si>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</si>
  <si>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</si>
  <si>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</si>
  <si>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</si>
  <si>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</si>
  <si>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</si>
  <si>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</si>
  <si>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</si>
  <si>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</si>
  <si>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</si>
  <si>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</si>
  <si>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</si>
  <si>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</si>
  <si>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</si>
  <si>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</si>
  <si>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</si>
  <si>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</si>
  <si>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</si>
  <si>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</si>
  <si>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</si>
  <si>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</si>
  <si>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</si>
  <si>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</si>
  <si>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</si>
  <si>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</si>
  <si>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</si>
  <si>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</si>
  <si>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</si>
  <si>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</si>
  <si>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</si>
  <si>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</si>
  <si>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</si>
  <si>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</si>
  <si>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</si>
  <si>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</si>
  <si>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</si>
  <si>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</si>
  <si>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</si>
  <si>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</si>
  <si>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</si>
  <si>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</si>
  <si>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</si>
  <si>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</si>
  <si>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</si>
  <si>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</si>
  <si>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</si>
  <si>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</si>
  <si>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</si>
  <si>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</si>
  <si>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</si>
  <si>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</si>
  <si>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</si>
  <si>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</si>
  <si>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</si>
  <si>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</si>
  <si>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</si>
  <si>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</si>
  <si>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</si>
  <si>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</si>
  <si>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</si>
  <si>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</si>
  <si>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</si>
  <si>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</si>
  <si>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</si>
  <si>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</si>
  <si>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</si>
  <si>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</si>
  <si>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</si>
  <si>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</si>
  <si>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</si>
  <si>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</si>
  <si>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</si>
  <si>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</si>
  <si>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</si>
  <si>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</si>
  <si>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</si>
  <si>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</si>
  <si>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</si>
  <si>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</si>
  <si>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</si>
  <si>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</si>
  <si>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</si>
  <si>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</si>
  <si>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</si>
  <si>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</si>
  <si>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</si>
  <si>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</si>
  <si>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</si>
  <si>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</si>
  <si>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</si>
  <si>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</si>
  <si>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</si>
  <si>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</si>
  <si>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</si>
  <si>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</si>
  <si>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</si>
  <si>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</si>
  <si>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</si>
  <si>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</si>
  <si>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</si>
  <si>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</si>
  <si>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</si>
  <si>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</si>
  <si>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</si>
  <si>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</si>
  <si>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</si>
  <si>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</si>
  <si>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</si>
  <si>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</si>
  <si>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</si>
  <si>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</si>
  <si>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</si>
  <si>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</si>
  <si>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</si>
  <si>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</si>
  <si>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</si>
  <si>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</si>
  <si>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</si>
  <si>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</si>
  <si>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</si>
  <si>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</si>
  <si>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</si>
  <si>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</si>
  <si>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</si>
  <si>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</si>
  <si>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</si>
  <si>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</si>
  <si>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</si>
  <si>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</si>
  <si>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</si>
  <si>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</si>
  <si>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</si>
  <si>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</si>
  <si>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</si>
  <si>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</si>
  <si>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</si>
  <si>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</si>
  <si>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</si>
  <si>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</si>
  <si>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</si>
  <si>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</si>
  <si>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</si>
  <si>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</si>
  <si>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</si>
  <si>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</si>
  <si>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</si>
  <si>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</si>
  <si>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</si>
  <si>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</si>
  <si>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</si>
  <si>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</si>
  <si>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</si>
  <si>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</si>
  <si>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</si>
  <si>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</si>
  <si>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</si>
  <si>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</si>
  <si>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</si>
  <si>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</si>
  <si>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</si>
  <si>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</si>
  <si>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</si>
  <si>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</si>
  <si>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</si>
  <si>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</si>
  <si>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</si>
  <si>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</si>
  <si>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</si>
  <si>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</si>
  <si>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</si>
  <si>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</si>
  <si>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</si>
  <si>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</si>
  <si>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</si>
  <si>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</si>
  <si>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</si>
  <si>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</si>
  <si>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</si>
  <si>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</si>
  <si>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</si>
  <si>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</si>
  <si>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</si>
  <si>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</si>
  <si>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</si>
  <si>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</si>
  <si>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</si>
  <si>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</si>
  <si>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</si>
  <si>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</si>
  <si>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</si>
  <si>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</si>
  <si>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</si>
  <si>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</si>
  <si>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</si>
  <si>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</si>
  <si>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</si>
  <si>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</si>
  <si>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</si>
  <si>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</si>
  <si>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</si>
  <si>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</si>
  <si>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</si>
  <si>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</si>
  <si>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</si>
  <si>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</si>
  <si>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</si>
  <si>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</si>
  <si>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</si>
  <si>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</si>
  <si>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</si>
  <si>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</si>
  <si>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</si>
  <si>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</si>
  <si>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</si>
  <si>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</si>
  <si>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</si>
  <si>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</si>
  <si>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</si>
  <si>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</si>
  <si>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</si>
  <si>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</si>
  <si>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</si>
  <si>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</si>
  <si>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</si>
  <si>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</si>
  <si>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</si>
  <si>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</si>
  <si>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</si>
  <si>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</si>
  <si>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</si>
  <si>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</si>
  <si>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</si>
  <si>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</si>
  <si>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</si>
  <si>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</si>
  <si>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</si>
  <si>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</si>
  <si>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</si>
  <si>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</si>
  <si>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</si>
  <si>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</si>
  <si>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</si>
  <si>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</si>
  <si>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</si>
  <si>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</si>
  <si>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</si>
  <si>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</si>
  <si>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</si>
  <si>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</si>
  <si>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</si>
  <si>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</si>
  <si>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</si>
  <si>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</si>
  <si>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</si>
  <si>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</si>
  <si>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</si>
  <si>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</si>
  <si>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</si>
  <si>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</si>
  <si>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</si>
  <si>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</si>
  <si>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</si>
  <si>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</si>
  <si>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</si>
  <si>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</si>
  <si>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</si>
  <si>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</si>
  <si>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</si>
  <si>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</si>
  <si>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</si>
  <si>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</si>
  <si>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</si>
  <si>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</si>
  <si>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</si>
  <si>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</si>
  <si>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</si>
  <si>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</si>
  <si>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</si>
  <si>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</si>
  <si>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</si>
  <si>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</si>
  <si>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</si>
  <si>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</si>
  <si>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</si>
  <si>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</si>
  <si>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</si>
  <si>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</si>
  <si>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</si>
  <si>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</si>
  <si>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</si>
  <si>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</si>
  <si>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</si>
  <si>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</si>
  <si>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</si>
  <si>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</si>
  <si>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</si>
  <si>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</si>
  <si>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</si>
  <si>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</si>
  <si>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</si>
  <si>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</si>
  <si>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</si>
  <si>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</si>
  <si>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</si>
  <si>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</si>
  <si>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</si>
  <si>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</si>
  <si>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</si>
  <si>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</si>
  <si>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</si>
  <si>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</si>
  <si>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</si>
  <si>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</si>
  <si>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</si>
  <si>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</si>
  <si>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</si>
  <si>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</si>
  <si>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</si>
  <si>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</si>
  <si>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</si>
  <si>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</si>
  <si>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</si>
  <si>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</si>
  <si>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</si>
  <si>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</si>
  <si>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</si>
  <si>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</si>
  <si>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</si>
  <si>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</si>
  <si>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</si>
  <si>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</si>
  <si>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</si>
  <si>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</si>
  <si>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</si>
  <si>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</si>
  <si>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</si>
  <si>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</si>
  <si>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</si>
  <si>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</si>
  <si>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</si>
  <si>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</si>
  <si>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</si>
  <si>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</si>
  <si>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</si>
  <si>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</si>
  <si>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</si>
  <si>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</si>
  <si>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</si>
  <si>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</si>
  <si>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</si>
  <si>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</si>
  <si>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</si>
  <si>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</si>
  <si>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</si>
  <si>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</si>
  <si>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</si>
  <si>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</si>
  <si>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</si>
  <si>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</si>
  <si>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</si>
  <si>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</si>
  <si>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</si>
  <si>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</si>
  <si>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</si>
  <si>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</si>
  <si>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</si>
  <si>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</si>
  <si>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</si>
  <si>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</si>
  <si>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</si>
  <si>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</si>
  <si>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</si>
  <si>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</si>
  <si>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</si>
  <si>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</si>
  <si>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</si>
  <si>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</si>
  <si>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</si>
  <si>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</si>
  <si>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</si>
  <si>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</si>
  <si>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</si>
  <si>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</si>
  <si>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</si>
  <si>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</si>
  <si>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</si>
  <si>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</si>
  <si>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</si>
  <si>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</si>
  <si>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</si>
  <si>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</si>
  <si>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</si>
  <si>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</si>
  <si>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</si>
  <si>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</si>
  <si>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</si>
  <si>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</si>
  <si>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</si>
  <si>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</si>
  <si>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</si>
  <si>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</si>
  <si>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</si>
  <si>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</si>
  <si>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</si>
  <si>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</si>
  <si>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</si>
  <si>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</si>
  <si>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</si>
  <si>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</si>
  <si>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</si>
  <si>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</si>
  <si>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</si>
  <si>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</si>
  <si>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</si>
  <si>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</si>
  <si>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</si>
  <si>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</si>
  <si>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</si>
  <si>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</si>
  <si>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</si>
  <si>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</si>
  <si>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</si>
  <si>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</si>
  <si>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</si>
  <si>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</si>
  <si>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</si>
  <si>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</si>
  <si>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</si>
  <si>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</si>
  <si>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</si>
  <si>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</si>
  <si>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</si>
  <si>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</si>
  <si>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</si>
  <si>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</si>
  <si>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</si>
  <si>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</si>
  <si>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</si>
  <si>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</si>
  <si>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</si>
  <si>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</si>
  <si>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</si>
  <si>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</si>
  <si>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</si>
  <si>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</si>
  <si>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</si>
  <si>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</si>
  <si>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</si>
  <si>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</si>
  <si>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</si>
  <si>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</si>
  <si>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</si>
  <si>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</si>
  <si>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</si>
  <si>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</si>
  <si>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</si>
  <si>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</si>
  <si>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</si>
  <si>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</si>
  <si>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</si>
  <si>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</si>
  <si>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</si>
  <si>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</si>
  <si>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</si>
  <si>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</si>
  <si>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</si>
  <si>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</si>
  <si>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</si>
  <si>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</si>
  <si>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</si>
  <si>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</si>
  <si>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</si>
  <si>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</si>
  <si>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</si>
  <si>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</si>
  <si>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</si>
  <si>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</si>
  <si>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</si>
  <si>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</si>
  <si>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</si>
  <si>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</si>
  <si>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</si>
  <si>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</si>
  <si>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</si>
  <si>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</si>
  <si>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</si>
  <si>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</si>
  <si>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</si>
  <si>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</si>
  <si>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</si>
  <si>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</si>
  <si>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</si>
  <si>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</si>
  <si>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</si>
  <si>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</si>
  <si>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</si>
  <si>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</si>
  <si>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</si>
  <si>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</si>
  <si>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</si>
  <si>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</si>
  <si>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</si>
  <si>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</si>
  <si>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</si>
  <si>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</si>
  <si>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</si>
  <si>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</si>
  <si>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</si>
  <si>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</si>
  <si>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</si>
  <si>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</si>
  <si>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</si>
  <si>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</si>
  <si>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</si>
  <si>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</si>
  <si>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</si>
  <si>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</si>
  <si>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</si>
  <si>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</si>
  <si>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</si>
  <si>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</si>
  <si>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</si>
  <si>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</si>
  <si>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</si>
  <si>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</si>
  <si>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</si>
  <si>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</si>
  <si>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</si>
  <si>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</si>
  <si>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</si>
  <si>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</si>
  <si>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</si>
  <si>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</si>
  <si>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</si>
  <si>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</si>
  <si>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</si>
  <si>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</si>
  <si>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</si>
  <si>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</si>
  <si>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</si>
  <si>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</si>
  <si>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</si>
  <si>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</si>
  <si>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</si>
  <si>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</si>
  <si>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</si>
  <si>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</si>
  <si>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</si>
  <si>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</si>
  <si>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</si>
  <si>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</si>
  <si>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</si>
  <si>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</si>
  <si>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</si>
  <si>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</si>
  <si>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</si>
  <si>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</si>
  <si>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</si>
  <si>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</si>
  <si>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</si>
  <si>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</si>
  <si>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</si>
  <si>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</si>
  <si>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</si>
  <si>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</si>
  <si>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</si>
  <si>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</si>
  <si>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</si>
  <si>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</si>
  <si>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</si>
  <si>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</si>
  <si>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</si>
  <si>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</si>
  <si>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</si>
  <si>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</si>
  <si>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</si>
  <si>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</si>
  <si>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</si>
  <si>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</si>
  <si>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</si>
  <si>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</si>
  <si>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</si>
  <si>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</si>
  <si>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</si>
  <si>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</si>
  <si>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</si>
  <si>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</si>
  <si>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</si>
  <si>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</si>
  <si>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</si>
  <si>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</si>
  <si>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</si>
  <si>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</si>
  <si>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</si>
  <si>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</si>
  <si>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</si>
  <si>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</si>
  <si>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</si>
  <si>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</si>
  <si>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</si>
  <si>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</si>
  <si>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</si>
  <si>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</si>
  <si>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</si>
  <si>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</si>
  <si>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</si>
  <si>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</si>
  <si>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</si>
  <si>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</si>
  <si>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</si>
  <si>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</si>
  <si>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</si>
  <si>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</si>
  <si>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</si>
  <si>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</si>
  <si>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</si>
  <si>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</si>
  <si>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</si>
  <si>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</si>
  <si>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</si>
  <si>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</si>
  <si>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</si>
  <si>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</si>
  <si>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</si>
  <si>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</si>
  <si>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</si>
  <si>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</si>
  <si>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</si>
  <si>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</si>
  <si>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</si>
  <si>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</si>
  <si>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</si>
  <si>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</si>
  <si>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</si>
  <si>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</si>
  <si>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</si>
  <si>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</si>
  <si>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</si>
  <si>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</si>
  <si>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</si>
  <si>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</si>
  <si>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</si>
  <si>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</si>
  <si>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</si>
  <si>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</si>
  <si>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</si>
  <si>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</si>
  <si>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</si>
  <si>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</si>
  <si>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</si>
  <si>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</si>
  <si>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</si>
  <si>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</si>
  <si>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</si>
  <si>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</si>
  <si>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</si>
  <si>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</si>
  <si>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</si>
  <si>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</si>
  <si>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</si>
  <si>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</si>
  <si>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</si>
  <si>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</si>
  <si>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</si>
  <si>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</si>
  <si>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</si>
  <si>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</si>
  <si>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</si>
  <si>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</si>
  <si>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</si>
  <si>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</si>
  <si>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</si>
  <si>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</si>
  <si>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</si>
  <si>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</si>
  <si>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</si>
  <si>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</si>
  <si>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</si>
  <si>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</si>
  <si>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</si>
  <si>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</si>
  <si>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</si>
  <si>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</si>
  <si>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</si>
  <si>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</si>
  <si>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</si>
  <si>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</si>
  <si>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</si>
  <si>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</si>
  <si>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</si>
  <si>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</si>
  <si>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</si>
  <si>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</si>
  <si>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</si>
  <si>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</si>
  <si>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</si>
  <si>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</si>
  <si>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</si>
  <si>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</si>
  <si>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</si>
  <si>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</si>
  <si>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</si>
  <si>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</si>
  <si>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</si>
  <si>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</si>
  <si>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</si>
  <si>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</si>
  <si>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</si>
  <si>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</si>
  <si>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</si>
  <si>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</si>
  <si>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</si>
  <si>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</si>
  <si>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</si>
  <si>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</si>
  <si>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</si>
  <si>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</si>
  <si>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</si>
  <si>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</si>
  <si>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</si>
  <si>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</si>
  <si>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</si>
  <si>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</si>
  <si>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</si>
  <si>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</si>
  <si>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</si>
  <si>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</si>
  <si>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</si>
  <si>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</si>
  <si>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</si>
  <si>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</si>
  <si>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</si>
  <si>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</si>
  <si>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</si>
  <si>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</si>
  <si>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</si>
  <si>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</si>
  <si>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</si>
  <si>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</si>
  <si>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</si>
  <si>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</si>
  <si>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</si>
  <si>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</si>
  <si>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</si>
  <si>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</si>
  <si>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</si>
  <si>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</si>
  <si>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</si>
  <si>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</si>
  <si>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</si>
  <si>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</si>
  <si>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</si>
  <si>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</si>
  <si>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</si>
  <si>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</si>
  <si>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</si>
  <si>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</si>
  <si>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</si>
  <si>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</si>
  <si>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</si>
  <si>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</si>
  <si>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</si>
  <si>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</si>
  <si>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</si>
  <si>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</si>
  <si>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</si>
  <si>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</si>
  <si>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</si>
  <si>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</si>
  <si>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</si>
  <si>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</si>
  <si>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</si>
  <si>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</si>
  <si>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</si>
  <si>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</si>
  <si>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</si>
  <si>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</si>
  <si>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</si>
  <si>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</si>
  <si>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</si>
  <si>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</si>
  <si>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</si>
  <si>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</si>
  <si>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</si>
  <si>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</si>
  <si>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</si>
  <si>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</si>
  <si>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</si>
  <si>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</si>
  <si>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</si>
  <si>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</si>
  <si>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</si>
  <si>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</si>
  <si>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</si>
  <si>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</si>
  <si>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</si>
  <si>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</si>
  <si>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</si>
  <si>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</si>
  <si>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</si>
  <si>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</si>
  <si>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</si>
  <si>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</si>
  <si>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</si>
  <si>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</si>
  <si>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</si>
  <si>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</si>
  <si>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</si>
  <si>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</si>
  <si>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</si>
  <si>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</si>
  <si>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</si>
  <si>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</si>
  <si>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</si>
  <si>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</si>
  <si>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</si>
  <si>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</si>
  <si>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</si>
  <si>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</si>
  <si>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</si>
  <si>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</si>
  <si>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</si>
  <si>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</si>
  <si>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</si>
  <si>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</si>
  <si>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</si>
  <si>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</si>
  <si>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</si>
  <si>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</si>
  <si>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</si>
  <si>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</si>
  <si>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</si>
  <si>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</si>
  <si>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</si>
  <si>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</si>
  <si>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</si>
  <si>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</si>
  <si>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</si>
  <si>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</si>
  <si>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</si>
  <si>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</si>
  <si>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</si>
  <si>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</si>
  <si>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</si>
  <si>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</si>
  <si>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</si>
  <si>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</si>
  <si>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</si>
  <si>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</si>
  <si>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</si>
  <si>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</si>
  <si>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</si>
  <si>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</si>
  <si>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</si>
  <si>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</si>
  <si>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</si>
  <si>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</si>
  <si>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</si>
  <si>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</si>
  <si>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</si>
  <si>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</si>
  <si>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</si>
  <si>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</si>
  <si>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</si>
  <si>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</si>
  <si>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</si>
  <si>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</si>
  <si>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</si>
  <si>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</si>
  <si>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</si>
  <si>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</si>
  <si>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</si>
  <si>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</si>
  <si>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</si>
  <si>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</si>
  <si>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</si>
  <si>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</si>
  <si>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</si>
  <si>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</si>
  <si>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</si>
  <si>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</si>
  <si>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</si>
  <si>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</si>
  <si>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</si>
  <si>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</si>
  <si>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</si>
  <si>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</si>
  <si>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</si>
  <si>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</si>
  <si>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</si>
  <si>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</si>
  <si>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</si>
  <si>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</si>
  <si>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</si>
  <si>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</si>
  <si>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</si>
  <si>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</si>
  <si>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</si>
  <si>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</si>
  <si>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</si>
  <si>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</si>
  <si>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</si>
  <si>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</si>
  <si>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</si>
  <si>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</si>
  <si>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</si>
  <si>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</si>
  <si>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</si>
  <si>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</si>
  <si>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</si>
  <si>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</si>
  <si>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</si>
  <si>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</si>
  <si>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</si>
  <si>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</si>
  <si>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</si>
  <si>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</si>
  <si>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</si>
  <si>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</si>
  <si>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</si>
  <si>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</si>
  <si>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</si>
  <si>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</si>
  <si>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</si>
  <si>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</si>
  <si>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</si>
  <si>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</si>
  <si>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</si>
  <si>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</si>
  <si>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</si>
  <si>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</si>
  <si>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</si>
  <si>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</si>
  <si>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</si>
  <si>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</si>
  <si>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</si>
  <si>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</si>
  <si>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</si>
  <si>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</si>
  <si>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</si>
  <si>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</si>
  <si>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</si>
  <si>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</si>
  <si>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</si>
  <si>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</si>
  <si>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</si>
  <si>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</si>
  <si>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</si>
  <si>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</si>
  <si>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</si>
  <si>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</si>
  <si>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</si>
  <si>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</si>
  <si>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</si>
  <si>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</si>
  <si>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</si>
  <si>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</si>
  <si>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</si>
  <si>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</si>
  <si>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</si>
  <si>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</si>
  <si>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</si>
  <si>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</si>
  <si>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</si>
  <si>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</si>
  <si>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</si>
  <si>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</si>
  <si>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</si>
  <si>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</si>
  <si>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</si>
  <si>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</si>
  <si>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</si>
  <si>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</si>
  <si>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</si>
  <si>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</si>
  <si>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</si>
  <si>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</si>
  <si>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</si>
  <si>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</si>
  <si>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</si>
  <si>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</si>
  <si>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</si>
  <si>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</si>
  <si>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</si>
  <si>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</si>
  <si>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</si>
  <si>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</si>
  <si>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</si>
  <si>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</si>
  <si>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</si>
  <si>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</si>
  <si>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</si>
  <si>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</si>
  <si>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</si>
  <si>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</si>
  <si>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</si>
  <si>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</si>
  <si>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</si>
  <si>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</si>
  <si>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</si>
  <si>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</si>
  <si>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</si>
  <si>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</si>
  <si>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</si>
  <si>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</si>
  <si>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</si>
  <si>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</si>
  <si>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</si>
  <si>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</si>
  <si>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</si>
  <si>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</si>
  <si>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</si>
  <si>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</si>
  <si>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</si>
  <si>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</si>
  <si>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</si>
  <si>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</si>
  <si>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</si>
  <si>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</si>
  <si>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</si>
  <si>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</si>
  <si>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</si>
  <si>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</si>
  <si>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</si>
  <si>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</si>
  <si>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</si>
  <si>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</si>
  <si>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</si>
  <si>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</si>
  <si>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</si>
  <si>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</si>
  <si>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</si>
  <si>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</si>
  <si>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</si>
  <si>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</si>
  <si>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</si>
  <si>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</si>
  <si>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</si>
  <si>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</si>
  <si>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</si>
  <si>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</si>
  <si>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</si>
  <si>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</si>
  <si>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</si>
  <si>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</si>
  <si>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</si>
  <si>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</si>
  <si>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</si>
  <si>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</si>
  <si>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</si>
  <si>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</si>
  <si>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</si>
  <si>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</si>
  <si>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</si>
  <si>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</si>
  <si>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</si>
  <si>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</si>
  <si>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</si>
  <si>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</si>
  <si>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</si>
  <si>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</si>
  <si>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</si>
  <si>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</si>
  <si>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</si>
  <si>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</si>
  <si>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</si>
  <si>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</si>
  <si>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</si>
  <si>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</si>
  <si>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</si>
  <si>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</si>
  <si>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</si>
  <si>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</si>
  <si>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</si>
  <si>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</si>
  <si>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</si>
  <si>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</si>
  <si>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</si>
  <si>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</si>
  <si>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</si>
  <si>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</si>
  <si>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</si>
  <si>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</si>
  <si>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</si>
  <si>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</si>
  <si>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</si>
  <si>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</si>
  <si>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</si>
  <si>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</si>
  <si>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</si>
  <si>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</si>
  <si>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</si>
  <si>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</si>
  <si>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</si>
  <si>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</si>
  <si>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</si>
  <si>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</si>
  <si>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</si>
  <si>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</si>
  <si>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</si>
  <si>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</si>
  <si>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</si>
  <si>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</si>
  <si>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</si>
  <si>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</si>
  <si>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</si>
  <si>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</si>
  <si>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</si>
  <si>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</si>
  <si>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</si>
  <si>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</si>
  <si>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</si>
  <si>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</si>
  <si>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</si>
  <si>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</si>
  <si>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</si>
  <si>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</si>
  <si>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</si>
  <si>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</si>
  <si>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</si>
  <si>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</si>
  <si>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</si>
  <si>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</si>
  <si>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</si>
  <si>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</si>
  <si>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</si>
  <si>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</si>
  <si>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</si>
  <si>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</si>
  <si>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</si>
  <si>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</si>
  <si>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</si>
  <si>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</si>
  <si>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</si>
  <si>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</si>
  <si>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</si>
  <si>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</si>
  <si>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</si>
  <si>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</si>
  <si>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</si>
  <si>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</si>
  <si>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</si>
  <si>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</si>
  <si>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</si>
  <si>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</si>
  <si>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</si>
  <si>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</si>
  <si>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</si>
  <si>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</si>
  <si>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</si>
  <si>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</si>
  <si>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</si>
  <si>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</si>
  <si>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</si>
  <si>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</si>
  <si>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</si>
  <si>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</si>
  <si>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</si>
  <si>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</si>
  <si>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</si>
  <si>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</si>
  <si>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</si>
  <si>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</si>
  <si>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</si>
  <si>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</si>
  <si>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</si>
  <si>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</si>
  <si>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</si>
  <si>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</si>
  <si>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</si>
  <si>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</si>
  <si>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</si>
  <si>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</si>
  <si>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</si>
  <si>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</si>
  <si>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</si>
  <si>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</si>
  <si>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</si>
  <si>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</si>
  <si>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</si>
  <si>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</si>
  <si>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</si>
  <si>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</si>
  <si>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</si>
  <si>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</si>
  <si>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</si>
  <si>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</si>
  <si>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</si>
  <si>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</si>
  <si>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</si>
  <si>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</si>
  <si>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</si>
  <si>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</si>
  <si>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</si>
  <si>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</si>
  <si>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</si>
  <si>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</si>
  <si>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</si>
  <si>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</si>
  <si>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</si>
  <si>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</si>
  <si>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</si>
  <si>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</si>
  <si>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</si>
  <si>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</si>
  <si>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</si>
  <si>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</si>
  <si>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</si>
  <si>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</si>
  <si>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</si>
  <si>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</si>
  <si>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</si>
  <si>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</si>
  <si>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</si>
  <si>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</si>
  <si>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</si>
  <si>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</si>
  <si>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</si>
  <si>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</si>
  <si>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</si>
  <si>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</si>
  <si>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</si>
  <si>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</si>
  <si>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</si>
  <si>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</si>
  <si>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</si>
  <si>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</si>
  <si>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</si>
  <si>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</si>
  <si>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</si>
  <si>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</si>
  <si>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</si>
  <si>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</si>
  <si>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</si>
  <si>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</si>
  <si>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</si>
  <si>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</si>
  <si>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</si>
  <si>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</si>
  <si>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</si>
  <si>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</si>
  <si>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</si>
  <si>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</si>
  <si>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</si>
  <si>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</si>
  <si>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</si>
  <si>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</si>
  <si>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</si>
  <si>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</si>
  <si>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</si>
  <si>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</si>
  <si>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</si>
  <si>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</si>
  <si>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</si>
  <si>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</si>
  <si>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</si>
  <si>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</si>
  <si>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</si>
  <si>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</si>
  <si>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</si>
  <si>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</si>
  <si>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</si>
  <si>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</si>
  <si>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</si>
  <si>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</si>
  <si>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</si>
  <si>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</si>
  <si>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</si>
  <si>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</si>
  <si>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</si>
  <si>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</si>
  <si>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</si>
  <si>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</si>
  <si>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</si>
  <si>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</si>
  <si>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</si>
  <si>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</si>
  <si>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</si>
  <si>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</si>
  <si>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</si>
  <si>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</si>
  <si>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</si>
  <si>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</si>
  <si>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</si>
  <si>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</si>
  <si>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</si>
  <si>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</si>
  <si>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</si>
  <si>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</si>
  <si>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</si>
  <si>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</si>
  <si>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</si>
  <si>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</si>
  <si>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</si>
  <si>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</si>
  <si>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</si>
  <si>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</si>
  <si>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</si>
  <si>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</si>
  <si>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</si>
  <si>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</si>
  <si>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</si>
  <si>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</si>
  <si>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</si>
  <si>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</si>
  <si>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</si>
  <si>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</si>
  <si>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</si>
  <si>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</si>
  <si>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</si>
  <si>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</si>
  <si>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</si>
  <si>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</si>
  <si>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</si>
  <si>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</si>
  <si>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</si>
  <si>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</si>
  <si>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</si>
  <si>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</si>
  <si>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</si>
  <si>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</si>
  <si>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</si>
  <si>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</si>
  <si>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</si>
  <si>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</si>
  <si>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</si>
  <si>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</si>
  <si>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</si>
  <si>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</si>
  <si>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</si>
  <si>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</si>
  <si>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</si>
  <si>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</si>
  <si>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</si>
  <si>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</si>
  <si>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</si>
  <si>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</si>
  <si>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</si>
  <si>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</si>
  <si>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</si>
  <si>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</si>
  <si>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</si>
  <si>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</si>
  <si>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</si>
  <si>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</si>
  <si>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</si>
  <si>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</si>
  <si>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</si>
  <si>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</si>
  <si>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</si>
  <si>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</si>
  <si>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</si>
  <si>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</si>
  <si>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</si>
  <si>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</si>
  <si>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</si>
  <si>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</si>
  <si>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</si>
  <si>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</si>
  <si>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</si>
  <si>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</si>
  <si>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</si>
  <si>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</si>
  <si>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</si>
  <si>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</si>
  <si>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</si>
  <si>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</si>
  <si>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</si>
  <si>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</si>
  <si>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</si>
  <si>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</si>
  <si>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</si>
  <si>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</si>
  <si>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</si>
  <si>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</si>
  <si>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</si>
  <si>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</si>
  <si>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</si>
  <si>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</si>
  <si>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</si>
  <si>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</si>
  <si>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</si>
  <si>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</si>
  <si>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</si>
  <si>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</si>
  <si>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</si>
  <si>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</si>
  <si>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</si>
  <si>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</si>
  <si>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</si>
  <si>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</si>
  <si>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</si>
  <si>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</si>
  <si>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</si>
  <si>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</si>
  <si>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</si>
  <si>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</si>
  <si>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</si>
  <si>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</si>
  <si>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</si>
  <si>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</si>
  <si>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</si>
  <si>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</si>
  <si>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</si>
  <si>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</si>
  <si>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</si>
  <si>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</si>
  <si>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</si>
  <si>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</si>
  <si>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</si>
  <si>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</si>
  <si>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</si>
  <si>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</si>
  <si>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</si>
  <si>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</si>
  <si>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</si>
  <si>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</si>
  <si>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</si>
  <si>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</si>
  <si>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</si>
  <si>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</si>
  <si>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</si>
  <si>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</si>
  <si>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</si>
  <si>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</si>
  <si>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</si>
  <si>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</si>
  <si>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</si>
  <si>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</si>
  <si>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</si>
  <si>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</si>
  <si>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</si>
  <si>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</si>
  <si>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</si>
  <si>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</si>
  <si>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</si>
  <si>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</si>
  <si>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</si>
  <si>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</si>
  <si>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</si>
  <si>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</si>
  <si>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</si>
  <si>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</si>
  <si>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</si>
  <si>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</si>
  <si>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</si>
  <si>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</si>
  <si>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</si>
  <si>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</si>
  <si>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</si>
  <si>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</si>
  <si>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</si>
  <si>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</si>
  <si>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</si>
  <si>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</si>
  <si>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</si>
  <si>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</si>
  <si>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</si>
  <si>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</si>
  <si>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</si>
  <si>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</si>
  <si>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</si>
  <si>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</si>
  <si>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</si>
  <si>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</si>
  <si>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</si>
  <si>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</si>
  <si>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</si>
  <si>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</si>
  <si>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</si>
  <si>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</si>
  <si>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</si>
  <si>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</si>
  <si>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</si>
  <si>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</si>
  <si>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</si>
  <si>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</si>
  <si>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</si>
  <si>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</si>
  <si>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</si>
  <si>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</si>
  <si>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</si>
  <si>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</si>
  <si>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</si>
  <si>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</si>
  <si>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</si>
  <si>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</si>
  <si>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</si>
  <si>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</si>
  <si>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</si>
  <si>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</si>
  <si>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</si>
  <si>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</si>
  <si>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</si>
  <si>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</si>
  <si>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</si>
  <si>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</si>
  <si>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</si>
  <si>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</si>
  <si>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</si>
  <si>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</si>
  <si>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</si>
  <si>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</si>
  <si>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</si>
  <si>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</si>
  <si>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</si>
  <si>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</si>
  <si>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</si>
  <si>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</si>
  <si>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</si>
  <si>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</si>
  <si>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</si>
  <si>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</si>
  <si>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</si>
  <si>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</si>
  <si>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</si>
  <si>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</si>
  <si>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</si>
  <si>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</si>
  <si>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</si>
  <si>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</si>
  <si>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</si>
  <si>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</si>
  <si>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</si>
  <si>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</si>
  <si>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</si>
  <si>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</si>
  <si>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</si>
  <si>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</si>
  <si>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</si>
  <si>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</si>
  <si>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</si>
  <si>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</si>
  <si>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</si>
  <si>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</si>
  <si>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</si>
  <si>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</si>
  <si>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</si>
  <si>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</si>
  <si>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</si>
  <si>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</si>
  <si>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</si>
  <si>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</si>
  <si>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</si>
  <si>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</si>
  <si>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</si>
  <si>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</si>
  <si>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</si>
  <si>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</si>
  <si>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</si>
  <si>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</si>
  <si>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</si>
  <si>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</si>
  <si>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</si>
  <si>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</si>
  <si>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</si>
  <si>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</si>
  <si>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</si>
  <si>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</si>
  <si>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</si>
  <si>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</si>
  <si>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</si>
  <si>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</si>
  <si>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</si>
  <si>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</si>
  <si>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</si>
  <si>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</si>
  <si>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</si>
  <si>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</si>
  <si>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</si>
  <si>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</si>
  <si>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</si>
  <si>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</si>
  <si>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</si>
  <si>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</si>
  <si>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</si>
  <si>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</si>
  <si>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</si>
  <si>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</si>
  <si>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</si>
  <si>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</si>
  <si>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</si>
  <si>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</si>
  <si>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</si>
  <si>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</si>
  <si>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</si>
  <si>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</si>
  <si>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</si>
  <si>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</si>
  <si>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</si>
  <si>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</si>
  <si>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</si>
  <si>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</si>
  <si>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</si>
  <si>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</si>
  <si>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</si>
  <si>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</si>
  <si>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</si>
  <si>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</si>
  <si>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</si>
  <si>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</si>
  <si>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</si>
  <si>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</si>
  <si>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</si>
  <si>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</si>
  <si>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</si>
  <si>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</si>
  <si>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</si>
  <si>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</si>
  <si>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</si>
  <si>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</si>
  <si>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</si>
  <si>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</si>
  <si>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</si>
  <si>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</si>
  <si>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</si>
  <si>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</si>
  <si>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</si>
  <si>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</si>
  <si>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</si>
  <si>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</si>
  <si>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</si>
  <si>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</si>
  <si>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</si>
  <si>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</si>
  <si>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</si>
  <si>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</si>
  <si>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</si>
  <si>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</si>
  <si>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</si>
  <si>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</si>
  <si>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</si>
  <si>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</si>
  <si>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</si>
  <si>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</si>
  <si>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</si>
  <si>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</si>
  <si>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</si>
  <si>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</si>
  <si>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</si>
  <si>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</si>
  <si>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</si>
  <si>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</si>
  <si>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</si>
  <si>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</si>
  <si>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</si>
  <si>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</si>
  <si>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</si>
  <si>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</si>
  <si>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</si>
  <si>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</si>
  <si>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</si>
  <si>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</si>
  <si>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</si>
  <si>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</si>
  <si>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</si>
  <si>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</si>
  <si>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</si>
  <si>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</si>
  <si>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</si>
  <si>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</si>
  <si>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</si>
  <si>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</si>
  <si>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</si>
  <si>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</si>
  <si>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</si>
  <si>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</si>
  <si>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</si>
  <si>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</si>
  <si>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</si>
  <si>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</si>
  <si>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</si>
  <si>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</si>
  <si>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</si>
  <si>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</si>
  <si>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</si>
  <si>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</si>
  <si>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</si>
  <si>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</si>
  <si>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</si>
  <si>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</si>
  <si>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</si>
  <si>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</si>
  <si>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</si>
  <si>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</si>
  <si>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</si>
  <si>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</si>
  <si>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</si>
  <si>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</si>
  <si>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</si>
  <si>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</si>
  <si>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</si>
  <si>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</si>
  <si>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</si>
  <si>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</si>
  <si>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</si>
  <si>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</si>
  <si>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</si>
  <si>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</si>
  <si>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</si>
  <si>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</si>
  <si>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</si>
  <si>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</si>
  <si>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</si>
  <si>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</si>
  <si>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</si>
  <si>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</si>
  <si>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</si>
  <si>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</si>
  <si>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</si>
  <si>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</si>
  <si>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</si>
  <si>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</si>
  <si>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</si>
  <si>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</si>
  <si>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</si>
  <si>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</si>
  <si>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</si>
  <si>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</si>
  <si>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</si>
  <si>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</si>
  <si>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</si>
  <si>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</si>
  <si>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</si>
  <si>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</si>
  <si>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</si>
  <si>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</si>
  <si>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</si>
  <si>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</si>
  <si>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</si>
  <si>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</si>
  <si>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</si>
  <si>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</si>
  <si>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</si>
  <si>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</si>
  <si>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</si>
  <si>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</si>
  <si>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</si>
  <si>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</si>
  <si>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</si>
  <si>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</si>
  <si>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</si>
  <si>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</si>
  <si>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</si>
  <si>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</si>
  <si>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</si>
  <si>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</si>
  <si>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</si>
  <si>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</si>
  <si>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</si>
  <si>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</si>
  <si>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</si>
  <si>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</si>
  <si>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</si>
  <si>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</si>
  <si>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</si>
  <si>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</si>
  <si>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</si>
  <si>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</si>
  <si>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</si>
  <si>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</si>
  <si>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</si>
  <si>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</si>
  <si>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</si>
  <si>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</si>
  <si>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</si>
  <si>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</si>
  <si>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</si>
  <si>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</si>
  <si>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</si>
  <si>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</si>
  <si>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</si>
  <si>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</si>
  <si>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</si>
  <si>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</si>
  <si>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</si>
  <si>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</si>
  <si>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</si>
  <si>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</si>
  <si>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</si>
  <si>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</si>
  <si>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</si>
  <si>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</si>
  <si>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</si>
  <si>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</si>
  <si>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</si>
  <si>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</si>
  <si>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</si>
  <si>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</si>
  <si>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</si>
  <si>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</si>
  <si>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</si>
  <si>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</si>
  <si>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</si>
  <si>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</si>
  <si>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</si>
  <si>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</si>
  <si>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</si>
  <si>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</si>
  <si>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</si>
  <si>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</si>
  <si>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</si>
  <si>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</si>
  <si>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</si>
  <si>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</si>
  <si>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</si>
  <si>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</si>
  <si>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</si>
  <si>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</si>
  <si>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</si>
  <si>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</si>
  <si>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</si>
  <si>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</si>
  <si>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</si>
  <si>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</si>
  <si>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</si>
  <si>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</si>
  <si>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</si>
  <si>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</si>
  <si>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</si>
  <si>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</si>
  <si>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</si>
  <si>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</si>
  <si>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</si>
  <si>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</si>
  <si>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</si>
  <si>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</si>
  <si>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</si>
  <si>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</si>
  <si>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</si>
  <si>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</si>
  <si>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</si>
  <si>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</si>
  <si>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</si>
  <si>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</si>
  <si>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</si>
  <si>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</si>
  <si>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</si>
  <si>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</si>
  <si>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</si>
  <si>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</si>
  <si>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</si>
  <si>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</si>
  <si>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</si>
  <si>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</si>
  <si>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</si>
  <si>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</si>
  <si>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</si>
  <si>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</si>
  <si>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</si>
  <si>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</si>
  <si>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</si>
  <si>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</si>
  <si>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</si>
  <si>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</si>
  <si>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</si>
  <si>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</si>
  <si>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</si>
  <si>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</si>
  <si>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</si>
  <si>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</si>
  <si>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</si>
  <si>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</si>
  <si>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</si>
  <si>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</si>
  <si>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</si>
  <si>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</si>
  <si>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</si>
  <si>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</si>
  <si>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</si>
  <si>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</si>
  <si>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</si>
  <si>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</si>
  <si>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</si>
  <si>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</si>
  <si>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</si>
  <si>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</si>
  <si>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</si>
  <si>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</si>
  <si>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</si>
  <si>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</si>
  <si>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</si>
  <si>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</si>
  <si>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</si>
  <si>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</si>
  <si>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</si>
  <si>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</si>
  <si>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</si>
  <si>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</si>
  <si>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</si>
  <si>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</si>
  <si>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</si>
  <si>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</si>
  <si>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</si>
  <si>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</si>
  <si>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</si>
  <si>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</si>
  <si>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</si>
  <si>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</si>
  <si>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</si>
  <si>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</si>
  <si>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</si>
  <si>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</si>
  <si>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</si>
  <si>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</si>
  <si>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</si>
  <si>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</si>
  <si>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</si>
  <si>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</si>
  <si>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</si>
  <si>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</si>
  <si>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</si>
  <si>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</si>
  <si>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</si>
  <si>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</si>
  <si>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</si>
  <si>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</si>
  <si>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</si>
  <si>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</si>
  <si>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</si>
  <si>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</si>
  <si>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</si>
  <si>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</si>
  <si>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</si>
  <si>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</si>
  <si>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</si>
  <si>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</si>
  <si>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</si>
  <si>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</si>
  <si>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</si>
  <si>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</si>
  <si>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</si>
  <si>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</si>
  <si>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</si>
  <si>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</si>
  <si>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</si>
  <si>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</si>
  <si>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</si>
  <si>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</si>
  <si>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</si>
  <si>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</si>
  <si>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</si>
  <si>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</si>
  <si>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</si>
  <si>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</si>
  <si>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</si>
  <si>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</si>
  <si>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</si>
  <si>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</si>
  <si>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</si>
  <si>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</si>
  <si>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</si>
  <si>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</si>
  <si>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</si>
  <si>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</si>
  <si>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</si>
  <si>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</si>
  <si>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</si>
  <si>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</si>
  <si>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</si>
  <si>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</si>
  <si>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</si>
  <si>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</si>
  <si>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</si>
  <si>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</si>
  <si>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</si>
  <si>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</si>
  <si>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</si>
  <si>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</si>
  <si>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</si>
  <si>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</si>
  <si>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</si>
  <si>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</si>
  <si>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</si>
  <si>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</si>
  <si>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</si>
  <si>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</si>
  <si>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</si>
  <si>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</si>
  <si>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</si>
  <si>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</si>
  <si>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</si>
  <si>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</si>
  <si>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</si>
  <si>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</si>
  <si>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</si>
  <si>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</si>
  <si>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</si>
  <si>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</si>
  <si>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</si>
  <si>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</si>
  <si>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</si>
  <si>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</si>
  <si>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</si>
  <si>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</si>
  <si>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</si>
  <si>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</si>
  <si>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</si>
  <si>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</si>
  <si>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</si>
  <si>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</si>
  <si>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</si>
  <si>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</si>
  <si>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</si>
  <si>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</si>
  <si>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</si>
  <si>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</si>
  <si>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</si>
  <si>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</si>
  <si>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</si>
  <si>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</si>
  <si>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</si>
  <si>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</si>
  <si>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</si>
  <si>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</si>
  <si>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</si>
  <si>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</si>
  <si>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</si>
  <si>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</si>
  <si>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</si>
  <si>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</si>
  <si>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</si>
  <si>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</si>
  <si>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</si>
  <si>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</si>
  <si>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</si>
  <si>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</si>
  <si>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</si>
  <si>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</si>
  <si>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</si>
  <si>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</si>
  <si>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</si>
  <si>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</si>
  <si>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</si>
  <si>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</si>
  <si>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</si>
  <si>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</si>
  <si>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</si>
  <si>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</si>
  <si>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</si>
  <si>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</si>
  <si>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</si>
  <si>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</si>
  <si>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</si>
  <si>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</si>
  <si>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</si>
  <si>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</si>
  <si>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</si>
  <si>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</si>
  <si>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</si>
  <si>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</si>
  <si>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</si>
  <si>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</si>
  <si>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</si>
  <si>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</si>
  <si>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</si>
  <si>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</si>
  <si>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</si>
  <si>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</si>
  <si>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</si>
  <si>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</si>
  <si>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</si>
  <si>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</si>
  <si>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</si>
  <si>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</si>
  <si>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</si>
  <si>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</si>
  <si>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</si>
  <si>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</si>
  <si>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</si>
  <si>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</si>
  <si>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</si>
  <si>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</si>
  <si>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</si>
  <si>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</si>
  <si>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</si>
  <si>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</si>
  <si>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</si>
  <si>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</si>
  <si>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</si>
  <si>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</si>
  <si>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</si>
  <si>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</si>
  <si>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</si>
  <si>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</si>
  <si>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</si>
  <si>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</si>
  <si>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</si>
  <si>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</si>
  <si>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</si>
  <si>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</si>
  <si>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</si>
  <si>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</si>
  <si>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</si>
  <si>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</si>
  <si>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</si>
  <si>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</si>
  <si>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</si>
  <si>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</si>
  <si>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</si>
  <si>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</si>
  <si>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</si>
  <si>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</si>
  <si>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</si>
  <si>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</si>
  <si>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</si>
  <si>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</si>
  <si>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</si>
  <si>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</si>
  <si>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</si>
  <si>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</si>
  <si>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</si>
  <si>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</si>
  <si>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</si>
  <si>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</si>
  <si>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</si>
  <si>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</si>
  <si>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</si>
  <si>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</si>
  <si>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</si>
  <si>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</si>
  <si>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</si>
  <si>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</si>
  <si>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</si>
  <si>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</si>
  <si>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</si>
  <si>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</si>
  <si>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</si>
  <si>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</si>
  <si>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</si>
  <si>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</si>
  <si>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</si>
  <si>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</si>
  <si>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</si>
  <si>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</si>
  <si>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</si>
  <si>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</si>
  <si>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</si>
  <si>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</si>
  <si>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</si>
  <si>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</si>
  <si>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</si>
  <si>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</si>
  <si>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</si>
  <si>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</si>
  <si>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</si>
  <si>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</si>
  <si>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</si>
  <si>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</si>
  <si>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</si>
  <si>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</si>
  <si>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</si>
  <si>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</si>
  <si>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</si>
  <si>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</si>
  <si>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</si>
  <si>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</si>
  <si>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</si>
  <si>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</si>
  <si>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</si>
  <si>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</si>
  <si>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</si>
  <si>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</si>
  <si>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</si>
  <si>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</si>
  <si>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</si>
  <si>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</si>
  <si>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</si>
  <si>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</si>
  <si>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</si>
  <si>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</si>
  <si>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</si>
  <si>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</si>
  <si>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</si>
  <si>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</si>
  <si>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</si>
  <si>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</si>
  <si>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</si>
  <si>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</si>
  <si>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</si>
  <si>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</si>
  <si>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</si>
  <si>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</si>
  <si>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</si>
  <si>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</si>
  <si>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</si>
  <si>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</si>
  <si>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</si>
  <si>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</si>
  <si>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</si>
  <si>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</si>
  <si>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</si>
  <si>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</si>
  <si>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</si>
  <si>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</si>
  <si>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</si>
  <si>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</si>
  <si>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</si>
  <si>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</si>
  <si>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</si>
  <si>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</si>
  <si>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</si>
  <si>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</si>
  <si>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</si>
  <si>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</si>
  <si>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</si>
  <si>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</si>
  <si>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</si>
  <si>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</si>
  <si>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</si>
  <si>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</si>
  <si>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</si>
  <si>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</si>
  <si>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</si>
  <si>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</si>
  <si>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</si>
  <si>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</si>
  <si>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</si>
  <si>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</si>
  <si>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</si>
  <si>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</si>
  <si>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</si>
  <si>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</si>
  <si>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</si>
  <si>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</si>
  <si>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</si>
  <si>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</si>
  <si>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</si>
  <si>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</si>
  <si>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</si>
  <si>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</si>
  <si>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</si>
  <si>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</si>
  <si>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</si>
  <si>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</si>
  <si>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</si>
  <si>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</si>
  <si>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</si>
  <si>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</si>
  <si>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</si>
  <si>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</si>
  <si>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</si>
  <si>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</si>
  <si>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</si>
  <si>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</si>
  <si>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</si>
  <si>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</si>
  <si>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</si>
  <si>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</si>
  <si>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</si>
  <si>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</si>
  <si>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</si>
  <si>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</si>
  <si>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</si>
  <si>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</si>
  <si>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</si>
  <si>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</si>
  <si>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</si>
  <si>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</si>
  <si>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</si>
  <si>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</si>
  <si>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</si>
  <si>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</si>
  <si>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</si>
  <si>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</si>
  <si>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</si>
  <si>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</si>
  <si>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</si>
  <si>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</si>
  <si>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</si>
  <si>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</si>
  <si>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</si>
  <si>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</si>
  <si>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</si>
  <si>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</si>
  <si>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</si>
  <si>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</si>
  <si>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</si>
  <si>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</si>
  <si>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</si>
  <si>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</si>
  <si>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</si>
  <si>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</si>
  <si>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</si>
  <si>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</si>
  <si>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</si>
  <si>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</si>
  <si>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</si>
  <si>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</si>
  <si>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</si>
  <si>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</si>
  <si>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</si>
  <si>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</si>
  <si>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</si>
  <si>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</si>
  <si>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</si>
  <si>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</si>
  <si>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</si>
  <si>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</si>
  <si>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</si>
  <si>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</si>
  <si>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</si>
  <si>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</si>
  <si>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</si>
  <si>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</si>
  <si>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</si>
  <si>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</si>
  <si>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</si>
  <si>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</si>
  <si>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</si>
  <si>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</si>
  <si>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</si>
  <si>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</si>
  <si>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</si>
  <si>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</si>
  <si>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</si>
  <si>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</si>
  <si>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</si>
  <si>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</si>
  <si>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</si>
  <si>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</si>
  <si>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</si>
  <si>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</si>
  <si>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</si>
  <si>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</si>
  <si>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</si>
  <si>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</si>
  <si>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</si>
  <si>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</si>
  <si>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</si>
  <si>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</si>
  <si>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</si>
  <si>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</si>
  <si>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</si>
  <si>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</si>
  <si>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</si>
  <si>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</si>
  <si>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</si>
  <si>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</si>
  <si>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</si>
  <si>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</si>
  <si>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</si>
  <si>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</si>
  <si>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</si>
  <si>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</si>
  <si>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</si>
  <si>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</si>
  <si>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</si>
  <si>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</si>
  <si>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</si>
  <si>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</si>
  <si>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</si>
  <si>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</si>
  <si>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</si>
  <si>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</si>
  <si>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</si>
  <si>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</si>
  <si>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</si>
  <si>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</si>
  <si>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</si>
  <si>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</si>
  <si>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</si>
  <si>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</si>
  <si>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</si>
  <si>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</si>
  <si>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</si>
  <si>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</si>
  <si>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</si>
  <si>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</si>
  <si>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</si>
  <si>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</si>
  <si>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</si>
  <si>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</si>
  <si>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</si>
  <si>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</si>
  <si>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</si>
  <si>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</si>
  <si>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</si>
  <si>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</si>
  <si>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</si>
  <si>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</si>
  <si>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</si>
  <si>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</si>
  <si>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</si>
  <si>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</si>
  <si>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</si>
  <si>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</si>
  <si>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</si>
  <si>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</si>
  <si>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</si>
  <si>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</si>
  <si>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</si>
  <si>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</si>
  <si>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</si>
  <si>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</si>
  <si>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</si>
  <si>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</si>
  <si>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</si>
  <si>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</si>
  <si>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</si>
  <si>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</si>
  <si>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</si>
  <si>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</si>
  <si>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</si>
  <si>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</si>
  <si>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</si>
  <si>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</si>
  <si>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</si>
  <si>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</si>
  <si>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</si>
  <si>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</si>
  <si>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</si>
  <si>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</si>
  <si>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</si>
  <si>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</si>
  <si>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</si>
  <si>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</si>
  <si>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</si>
  <si>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</si>
  <si>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</si>
  <si>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</si>
  <si>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</si>
  <si>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</si>
  <si>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</si>
  <si>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</si>
  <si>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</si>
  <si>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</si>
  <si>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</si>
  <si>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</si>
  <si>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</si>
  <si>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</si>
  <si>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</si>
  <si>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</si>
  <si>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</si>
  <si>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</si>
  <si>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</si>
  <si>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</si>
  <si>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</si>
  <si>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</si>
  <si>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</si>
  <si>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</si>
  <si>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</si>
  <si>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</si>
  <si>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</si>
  <si>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</si>
  <si>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</si>
  <si>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</si>
  <si>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</si>
  <si>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</si>
  <si>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</si>
  <si>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</si>
  <si>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</si>
  <si>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</si>
  <si>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</si>
  <si>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</si>
  <si>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</si>
  <si>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</si>
  <si>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</si>
  <si>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</si>
  <si>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</si>
  <si>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</si>
  <si>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</si>
  <si>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</si>
  <si>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</si>
  <si>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</si>
  <si>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</si>
  <si>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</si>
  <si>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</si>
  <si>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</si>
  <si>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</si>
  <si>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</si>
  <si>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</si>
  <si>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</si>
  <si>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</si>
  <si>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</si>
  <si>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</si>
  <si>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</si>
  <si>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</si>
  <si>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</si>
  <si>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</si>
  <si>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</si>
  <si>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</si>
  <si>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</si>
  <si>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</si>
  <si>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</si>
  <si>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</si>
  <si>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</si>
  <si>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</si>
  <si>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</si>
  <si>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</si>
  <si>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</si>
  <si>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</si>
  <si>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</si>
  <si>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</si>
  <si>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</si>
  <si>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</si>
  <si>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</si>
  <si>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</si>
  <si>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</si>
  <si>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</si>
  <si>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</si>
  <si>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</si>
  <si>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</si>
  <si>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</si>
  <si>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</si>
  <si>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</si>
  <si>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</si>
  <si>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</si>
  <si>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</si>
  <si>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</si>
  <si>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</si>
  <si>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</si>
  <si>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</si>
  <si>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</si>
  <si>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</si>
  <si>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</si>
  <si>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</si>
  <si>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</si>
  <si>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</si>
  <si>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</si>
  <si>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</si>
  <si>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</si>
  <si>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</si>
  <si>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</si>
  <si>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</si>
  <si>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</si>
  <si>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</si>
  <si>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</si>
  <si>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</si>
  <si>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</si>
  <si>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</si>
  <si>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</si>
  <si>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</si>
  <si>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</si>
  <si>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</si>
  <si>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</si>
  <si>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</si>
  <si>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</si>
  <si>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</si>
  <si>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</si>
  <si>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</si>
  <si>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</si>
  <si>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</si>
  <si>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</si>
  <si>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</si>
  <si>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</si>
  <si>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</si>
  <si>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</si>
  <si>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</si>
  <si>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</si>
  <si>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</si>
  <si>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</si>
  <si>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</si>
  <si>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</si>
  <si>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</si>
  <si>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</si>
  <si>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</si>
  <si>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</si>
  <si>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</si>
  <si>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</si>
  <si>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</si>
  <si>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</si>
  <si>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</si>
  <si>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</si>
  <si>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</si>
  <si>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</si>
  <si>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</si>
  <si>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</si>
  <si>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</si>
  <si>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</si>
  <si>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</si>
  <si>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</si>
  <si>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</si>
  <si>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</si>
  <si>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</si>
  <si>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</si>
  <si>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</si>
  <si>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</si>
  <si>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</si>
  <si>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</si>
  <si>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</si>
  <si>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</si>
  <si>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</si>
  <si>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</si>
  <si>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</si>
  <si>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</si>
  <si>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</si>
  <si>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</si>
  <si>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</si>
  <si>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</si>
  <si>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</si>
  <si>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</si>
  <si>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</si>
  <si>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</si>
  <si>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</si>
  <si>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</si>
  <si>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</si>
  <si>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</si>
  <si>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</si>
  <si>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</si>
  <si>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</si>
  <si>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</si>
  <si>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</si>
  <si>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</si>
  <si>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</si>
  <si>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</si>
  <si>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</si>
  <si>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</si>
  <si>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</si>
  <si>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</si>
  <si>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</si>
  <si>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</si>
  <si>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</si>
  <si>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</si>
  <si>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</si>
  <si>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</si>
  <si>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</si>
  <si>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</si>
  <si>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</si>
  <si>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</si>
  <si>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</si>
  <si>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</si>
  <si>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</si>
  <si>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</si>
  <si>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</si>
  <si>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</si>
  <si>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</si>
  <si>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</si>
  <si>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</si>
  <si>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</si>
  <si>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</si>
  <si>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</si>
  <si>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</si>
  <si>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</si>
  <si>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</si>
  <si>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</si>
  <si>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</si>
  <si>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</si>
  <si>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</si>
  <si>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</si>
  <si>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</si>
  <si>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</si>
  <si>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</si>
  <si>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</si>
  <si>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</si>
  <si>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</si>
  <si>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</si>
  <si>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</si>
  <si>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</si>
  <si>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</si>
  <si>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</si>
  <si>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</si>
  <si>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</si>
  <si>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</si>
  <si>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</si>
  <si>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</si>
  <si>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</si>
  <si>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</si>
  <si>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</si>
  <si>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</si>
  <si>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</si>
  <si>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</si>
  <si>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</si>
  <si>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</si>
  <si>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</si>
  <si>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</si>
  <si>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</si>
  <si>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</si>
  <si>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</si>
  <si>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</si>
  <si>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</si>
  <si>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</si>
  <si>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</si>
  <si>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</si>
  <si>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</si>
  <si>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</si>
  <si>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</si>
  <si>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</si>
  <si>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</si>
  <si>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</si>
  <si>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</si>
  <si>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</si>
  <si>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</si>
  <si>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</si>
  <si>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</si>
  <si>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</si>
  <si>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</si>
  <si>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</si>
  <si>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</si>
  <si>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</si>
  <si>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</si>
  <si>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</si>
  <si>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</si>
  <si>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</si>
  <si>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</si>
  <si>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</si>
  <si>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</si>
  <si>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</si>
  <si>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</si>
  <si>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</si>
  <si>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</si>
  <si>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</si>
  <si>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</si>
  <si>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</si>
  <si>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</si>
  <si>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</si>
  <si>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</si>
  <si>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</si>
  <si>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</si>
  <si>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</si>
  <si>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</si>
  <si>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</si>
  <si>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</si>
  <si>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</si>
  <si>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</si>
  <si>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</si>
  <si>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</si>
  <si>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</si>
  <si>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</si>
  <si>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</si>
  <si>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</si>
  <si>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</si>
  <si>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</si>
  <si>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</si>
  <si>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</si>
  <si>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</si>
  <si>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</si>
  <si>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</si>
  <si>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</si>
  <si>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</si>
  <si>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</si>
  <si>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</si>
  <si>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</si>
  <si>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</si>
  <si>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</si>
  <si>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</si>
  <si>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</si>
  <si>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</si>
  <si>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</si>
  <si>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</si>
  <si>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</si>
  <si>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</si>
  <si>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</si>
  <si>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</si>
  <si>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</si>
  <si>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</si>
  <si>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</si>
  <si>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</si>
  <si>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</si>
  <si>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</si>
  <si>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</si>
  <si>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</si>
  <si>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</si>
  <si>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</si>
  <si>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</si>
  <si>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</si>
  <si>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</si>
  <si>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</si>
  <si>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</si>
  <si>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</si>
  <si>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</si>
  <si>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</si>
  <si>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</si>
  <si>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</si>
  <si>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</si>
  <si>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</si>
  <si>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</si>
  <si>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</si>
  <si>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</si>
  <si>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</si>
  <si>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</si>
  <si>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</si>
  <si>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</si>
  <si>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</si>
  <si>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</si>
  <si>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</si>
  <si>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</si>
  <si>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</si>
  <si>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</si>
  <si>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</si>
  <si>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</si>
  <si>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</si>
  <si>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</si>
  <si>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</si>
  <si>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</si>
  <si>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</si>
  <si>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</si>
  <si>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</si>
  <si>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</si>
  <si>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</si>
  <si>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</si>
  <si>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</si>
  <si>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</si>
  <si>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</si>
  <si>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</si>
  <si>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</si>
  <si>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</si>
  <si>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</si>
  <si>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</si>
  <si>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</si>
  <si>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</si>
  <si>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</si>
  <si>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</si>
  <si>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</si>
  <si>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</si>
  <si>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</si>
  <si>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</si>
  <si>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</si>
  <si>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</si>
  <si>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</si>
  <si>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</si>
  <si>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</si>
  <si>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</si>
  <si>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</si>
  <si>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</si>
  <si>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</si>
  <si>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</si>
  <si>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</si>
  <si>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</si>
  <si>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</si>
  <si>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</si>
  <si>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</si>
  <si>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</si>
  <si>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</si>
  <si>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</si>
  <si>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</si>
  <si>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</si>
  <si>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</si>
  <si>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</si>
  <si>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</si>
  <si>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</si>
  <si>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</si>
  <si>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</si>
  <si>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</si>
  <si>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</si>
  <si>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</si>
  <si>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</si>
  <si>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</si>
  <si>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</si>
  <si>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</si>
  <si>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</si>
  <si>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</si>
  <si>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</si>
  <si>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</si>
  <si>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</si>
  <si>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</si>
  <si>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</si>
  <si>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</si>
  <si>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</si>
  <si>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</si>
  <si>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</si>
  <si>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</si>
  <si>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</si>
  <si>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</si>
  <si>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</si>
  <si>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</si>
  <si>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</si>
  <si>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</si>
  <si>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</si>
  <si>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</si>
  <si>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</si>
  <si>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</si>
  <si>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</si>
  <si>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</si>
  <si>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</si>
  <si>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</si>
  <si>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</si>
  <si>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</si>
  <si>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</si>
  <si>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</si>
  <si>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</si>
  <si>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</si>
  <si>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</si>
  <si>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</si>
  <si>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</si>
  <si>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</si>
  <si>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</si>
  <si>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</si>
  <si>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</si>
  <si>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</si>
  <si>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</si>
  <si>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</si>
  <si>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</si>
  <si>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</si>
  <si>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</si>
  <si>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</si>
  <si>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</si>
  <si>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</si>
  <si>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</si>
  <si>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</si>
  <si>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</si>
  <si>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</si>
  <si>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</si>
  <si>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</si>
  <si>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</si>
  <si>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</si>
  <si>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</si>
  <si>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</si>
  <si>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</si>
  <si>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</si>
  <si>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</si>
  <si>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</si>
  <si>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</si>
  <si>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</si>
  <si>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</si>
  <si>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</si>
  <si>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</si>
  <si>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</si>
  <si>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</si>
  <si>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</si>
  <si>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</si>
  <si>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</si>
  <si>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</si>
  <si>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</si>
  <si>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</si>
  <si>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</si>
  <si>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</si>
  <si>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</si>
  <si>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</si>
  <si>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</si>
  <si>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</si>
  <si>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</si>
  <si>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</si>
  <si>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</si>
  <si>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</si>
  <si>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</si>
  <si>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</si>
  <si>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</si>
  <si>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</si>
  <si>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</si>
  <si>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</si>
  <si>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</si>
  <si>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</si>
  <si>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</si>
  <si>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</si>
  <si>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</si>
  <si>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</si>
  <si>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</si>
  <si>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</si>
  <si>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</si>
  <si>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</si>
  <si>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</si>
  <si>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</si>
  <si>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</si>
  <si>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</si>
  <si>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</si>
  <si>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</si>
  <si>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</si>
  <si>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</si>
  <si>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</si>
  <si>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</si>
  <si>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</si>
  <si>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</si>
  <si>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</si>
  <si>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</si>
  <si>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</si>
  <si>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</si>
  <si>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</si>
  <si>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</si>
  <si>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</si>
  <si>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</si>
  <si>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</si>
  <si>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</si>
  <si>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</si>
  <si>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</si>
  <si>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</si>
  <si>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</si>
  <si>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</si>
  <si>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</si>
  <si>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</si>
  <si>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</si>
  <si>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</si>
  <si>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</si>
  <si>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</si>
  <si>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</si>
  <si>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</si>
  <si>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</si>
  <si>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</si>
  <si>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</si>
  <si>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</si>
  <si>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</si>
  <si>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</si>
  <si>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</si>
  <si>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</si>
  <si>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</si>
  <si>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</si>
  <si>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</si>
  <si>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</si>
  <si>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</si>
  <si>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</si>
  <si>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</si>
  <si>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</si>
  <si>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</si>
  <si>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</si>
  <si>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</si>
  <si>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</si>
  <si>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</si>
  <si>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</si>
  <si>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</si>
  <si>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</si>
  <si>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</si>
  <si>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</si>
  <si>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</si>
  <si>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</si>
  <si>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</si>
  <si>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</si>
  <si>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</si>
  <si>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</si>
  <si>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</si>
  <si>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</si>
  <si>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</si>
  <si>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</si>
  <si>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</si>
  <si>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</si>
  <si>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</si>
  <si>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</si>
  <si>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</si>
  <si>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</si>
  <si>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</si>
  <si>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</si>
  <si>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</si>
  <si>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</si>
  <si>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</si>
  <si>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</si>
  <si>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</si>
  <si>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</si>
  <si>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</si>
  <si>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</si>
  <si>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</si>
  <si>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</si>
  <si>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</si>
  <si>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</si>
  <si>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</si>
  <si>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</si>
  <si>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</si>
  <si>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</si>
  <si>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</si>
  <si>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</si>
  <si>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</si>
  <si>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</si>
  <si>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</si>
  <si>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</si>
  <si>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</si>
  <si>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</si>
  <si>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</si>
  <si>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</si>
  <si>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</si>
  <si>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</si>
  <si>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</si>
  <si>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</si>
  <si>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</si>
  <si>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</si>
  <si>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</si>
  <si>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</si>
  <si>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</si>
  <si>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</si>
  <si>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</si>
  <si>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</si>
  <si>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</si>
  <si>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</si>
  <si>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</si>
  <si>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</si>
  <si>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</si>
  <si>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</si>
  <si>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</si>
  <si>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</si>
  <si>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</si>
  <si>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</si>
  <si>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</si>
  <si>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</si>
  <si>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</si>
  <si>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</si>
  <si>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</si>
  <si>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</si>
  <si>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</si>
  <si>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</si>
  <si>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</si>
  <si>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</si>
  <si>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</si>
  <si>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</si>
  <si>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</si>
  <si>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</si>
  <si>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</si>
  <si>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</si>
  <si>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</si>
  <si>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</si>
  <si>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</si>
  <si>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</si>
  <si>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</si>
  <si>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</si>
  <si>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</si>
  <si>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</si>
  <si>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</si>
  <si>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</si>
  <si>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</si>
  <si>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</si>
  <si>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</si>
  <si>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</si>
  <si>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</si>
  <si>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</si>
  <si>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</si>
  <si>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</si>
  <si>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</si>
  <si>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</si>
  <si>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</si>
  <si>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</si>
  <si>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</si>
  <si>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</si>
  <si>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</si>
  <si>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</si>
  <si>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</si>
  <si>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</si>
  <si>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</si>
  <si>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</si>
  <si>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</si>
  <si>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</si>
  <si>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</si>
  <si>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</si>
  <si>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</si>
  <si>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</si>
  <si>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</si>
  <si>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</si>
  <si>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</si>
  <si>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</si>
  <si>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</si>
  <si>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</si>
  <si>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</si>
  <si>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</si>
  <si>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</si>
  <si>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</si>
  <si>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</si>
  <si>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</si>
  <si>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</si>
  <si>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</si>
  <si>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</si>
  <si>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</si>
  <si>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</si>
  <si>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</si>
  <si>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</si>
  <si>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</si>
  <si>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</si>
  <si>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</si>
  <si>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</si>
  <si>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</si>
  <si>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</si>
  <si>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</si>
  <si>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</si>
  <si>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</si>
  <si>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</si>
  <si>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</si>
  <si>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</si>
  <si>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</si>
  <si>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</si>
  <si>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</si>
  <si>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</si>
  <si>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</si>
  <si>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</si>
  <si>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</si>
  <si>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</si>
  <si>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</si>
  <si>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</si>
  <si>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</si>
  <si>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</si>
  <si>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</si>
  <si>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</si>
  <si>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</si>
  <si>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</si>
  <si>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</si>
  <si>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</si>
  <si>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</si>
  <si>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</si>
  <si>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</si>
  <si>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</si>
  <si>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</si>
  <si>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</si>
  <si>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</si>
  <si>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</si>
  <si>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</si>
  <si>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</si>
  <si>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</si>
  <si>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</si>
  <si>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</si>
  <si>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</si>
  <si>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</si>
  <si>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</si>
  <si>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</si>
  <si>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</si>
  <si>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</si>
  <si>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</si>
  <si>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</si>
  <si>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</si>
  <si>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</si>
  <si>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</si>
  <si>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</si>
  <si>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</si>
  <si>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</si>
  <si>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</si>
  <si>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</si>
  <si>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</si>
  <si>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</si>
  <si>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</si>
  <si>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</si>
  <si>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</si>
  <si>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</si>
  <si>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</si>
  <si>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</si>
  <si>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</si>
  <si>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</si>
  <si>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</si>
  <si>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</si>
  <si>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</si>
  <si>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</si>
  <si>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</si>
  <si>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</si>
  <si>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</si>
  <si>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</si>
  <si>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</si>
  <si>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</si>
  <si>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</si>
  <si>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</si>
  <si>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</si>
  <si>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</si>
  <si>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</si>
  <si>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</si>
  <si>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</si>
  <si>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</si>
  <si>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</si>
  <si>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</si>
  <si>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</si>
  <si>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</si>
  <si>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</si>
  <si>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</si>
  <si>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</si>
  <si>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</si>
  <si>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</si>
  <si>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</si>
  <si>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</si>
  <si>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</si>
  <si>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</si>
  <si>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</si>
  <si>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</si>
  <si>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</si>
  <si>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</si>
  <si>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</si>
  <si>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</si>
  <si>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</si>
  <si>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</si>
  <si>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</si>
  <si>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</si>
  <si>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</si>
  <si>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</si>
  <si>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</si>
  <si>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</si>
  <si>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</si>
  <si>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</si>
  <si>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</si>
  <si>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</si>
  <si>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</si>
  <si>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</si>
  <si>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</si>
  <si>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</si>
  <si>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</si>
  <si>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</si>
  <si>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</si>
  <si>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</si>
  <si>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</si>
  <si>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</si>
  <si>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</si>
  <si>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</si>
  <si>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</si>
  <si>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</si>
  <si>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</si>
  <si>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</si>
  <si>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</si>
  <si>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</si>
  <si>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</si>
  <si>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</si>
  <si>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</si>
  <si>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</si>
  <si>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</si>
  <si>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</si>
  <si>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</si>
  <si>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</si>
  <si>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</si>
  <si>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</si>
  <si>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</si>
  <si>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</si>
  <si>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</si>
  <si>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</si>
  <si>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</si>
  <si>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</si>
  <si>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</si>
  <si>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</si>
  <si>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</si>
  <si>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</si>
  <si>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</si>
  <si>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</si>
  <si>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</si>
  <si>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</si>
  <si>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</si>
  <si>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</si>
  <si>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</si>
  <si>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</si>
  <si>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</si>
  <si>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</si>
  <si>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</si>
  <si>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</si>
  <si>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</si>
  <si>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</si>
  <si>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</si>
  <si>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</si>
  <si>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</si>
  <si>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</si>
  <si>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</si>
  <si>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</si>
  <si>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</si>
  <si>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</si>
  <si>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</si>
  <si>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</si>
  <si>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</si>
  <si>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</si>
  <si>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</si>
  <si>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</si>
  <si>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</si>
  <si>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</si>
  <si>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</si>
  <si>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</si>
  <si>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</si>
  <si>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</si>
  <si>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</si>
  <si>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</si>
  <si>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</si>
  <si>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</si>
  <si>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</si>
  <si>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</si>
  <si>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</si>
  <si>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</si>
  <si>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</si>
  <si>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</si>
  <si>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</si>
  <si>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</si>
  <si>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</si>
  <si>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</si>
  <si>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</si>
  <si>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</si>
  <si>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</si>
  <si>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</si>
  <si>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</si>
  <si>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</si>
  <si>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</si>
  <si>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</si>
  <si>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</si>
  <si>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</si>
  <si>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</si>
  <si>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</si>
  <si>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</si>
  <si>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</si>
  <si>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</si>
  <si>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</si>
  <si>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</si>
  <si>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</si>
  <si>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</si>
  <si>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</si>
  <si>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</si>
  <si>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</si>
  <si>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</si>
  <si>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</si>
  <si>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</si>
  <si>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</si>
  <si>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</si>
  <si>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</si>
  <si>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</si>
  <si>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</si>
  <si>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</si>
  <si>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</si>
  <si>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</si>
  <si>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</si>
  <si>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</si>
  <si>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</si>
  <si>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</si>
  <si>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</si>
  <si>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</si>
  <si>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</si>
  <si>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</si>
  <si>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</si>
  <si>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</si>
  <si>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</si>
  <si>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</si>
  <si>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</si>
  <si>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</si>
  <si>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</si>
  <si>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</si>
  <si>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</si>
  <si>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</si>
  <si>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</si>
  <si>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</si>
  <si>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</si>
  <si>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</si>
  <si>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</si>
  <si>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</si>
  <si>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</si>
  <si>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</si>
  <si>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</si>
  <si>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</si>
  <si>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</si>
  <si>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</si>
  <si>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</si>
  <si>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</si>
  <si>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</si>
  <si>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</si>
  <si>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</si>
  <si>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</si>
  <si>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</si>
  <si>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</si>
  <si>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</si>
  <si>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</si>
  <si>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</si>
  <si>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</si>
  <si>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</si>
  <si>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</si>
  <si>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</si>
  <si>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</si>
  <si>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</si>
  <si>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</si>
  <si>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</si>
  <si>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</si>
  <si>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</si>
  <si>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</si>
  <si>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</si>
  <si>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</si>
  <si>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</si>
  <si>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</si>
  <si>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</si>
  <si>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</si>
  <si>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</si>
  <si>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</si>
  <si>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</si>
  <si>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</si>
  <si>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</si>
  <si>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</si>
  <si>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</si>
  <si>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</si>
  <si>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</si>
  <si>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</si>
  <si>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</si>
  <si>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</si>
  <si>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</si>
  <si>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</si>
  <si>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</si>
  <si>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</si>
  <si>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</si>
  <si>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</si>
  <si>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</si>
  <si>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</si>
  <si>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</si>
  <si>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</si>
  <si>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</si>
  <si>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</si>
  <si>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</si>
  <si>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</si>
  <si>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</si>
  <si>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</si>
  <si>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</si>
  <si>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</si>
  <si>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</si>
  <si>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</si>
  <si>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</si>
  <si>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</si>
  <si>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</si>
  <si>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</si>
  <si>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</si>
  <si>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</si>
  <si>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</si>
  <si>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</si>
  <si>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</si>
  <si>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</si>
  <si>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</si>
  <si>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</si>
  <si>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</si>
  <si>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</si>
  <si>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</si>
  <si>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</si>
  <si>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</si>
  <si>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</si>
  <si>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</si>
  <si>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</si>
  <si>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</si>
  <si>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</si>
  <si>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</si>
  <si>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</si>
  <si>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</si>
  <si>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</si>
  <si>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</si>
  <si>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</si>
  <si>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</si>
  <si>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</si>
  <si>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</si>
  <si>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</si>
  <si>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</si>
  <si>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</si>
  <si>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</si>
  <si>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</si>
  <si>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</si>
  <si>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</si>
  <si>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</si>
  <si>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</si>
  <si>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</si>
  <si>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</si>
  <si>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</si>
  <si>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</si>
  <si>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</si>
  <si>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</si>
  <si>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</si>
  <si>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</si>
  <si>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</si>
  <si>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</si>
  <si>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</si>
  <si>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</si>
  <si>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</si>
  <si>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</si>
  <si>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</si>
  <si>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</si>
  <si>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</si>
  <si>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</si>
  <si>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</si>
  <si>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</si>
  <si>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</si>
  <si>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</si>
  <si>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</si>
  <si>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</si>
  <si>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</si>
  <si>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</si>
  <si>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</si>
  <si>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</si>
  <si>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</si>
  <si>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</si>
  <si>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</si>
  <si>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</si>
  <si>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</si>
  <si>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</si>
  <si>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</si>
  <si>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</si>
  <si>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</si>
  <si>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</si>
  <si>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</si>
  <si>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</si>
  <si>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</si>
  <si>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</si>
  <si>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</si>
  <si>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</si>
  <si>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</si>
  <si>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</si>
  <si>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</si>
  <si>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</si>
  <si>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</si>
  <si>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</si>
  <si>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</si>
  <si>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</si>
  <si>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</si>
  <si>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</si>
  <si>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</si>
  <si>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</si>
  <si>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</si>
  <si>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</si>
  <si>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</si>
  <si>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</si>
  <si>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</si>
  <si>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</si>
  <si>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</si>
  <si>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</si>
  <si>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</si>
  <si>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</si>
  <si>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</si>
  <si>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</si>
  <si>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</si>
  <si>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</si>
  <si>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</si>
  <si>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</si>
  <si>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</si>
  <si>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</si>
  <si>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</si>
  <si>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</si>
  <si>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</si>
  <si>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</si>
  <si>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</si>
  <si>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</si>
  <si>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</si>
  <si>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</si>
  <si>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</si>
  <si>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</si>
  <si>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</si>
  <si>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</si>
  <si>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</si>
  <si>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</si>
  <si>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</si>
  <si>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</si>
  <si>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</si>
  <si>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</si>
  <si>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</si>
  <si>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</si>
  <si>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</si>
  <si>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</si>
  <si>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</si>
  <si>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</si>
  <si>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</si>
  <si>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</si>
  <si>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</si>
  <si>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</si>
  <si>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</si>
  <si>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</si>
  <si>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</si>
  <si>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</si>
  <si>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</si>
  <si>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</si>
  <si>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</si>
  <si>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</si>
  <si>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</si>
  <si>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</si>
  <si>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</si>
  <si>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</si>
  <si>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</si>
  <si>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</si>
  <si>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</si>
  <si>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</si>
  <si>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</si>
  <si>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</si>
  <si>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</si>
  <si>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</si>
  <si>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</si>
  <si>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</si>
  <si>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</si>
  <si>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</si>
  <si>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</si>
  <si>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</si>
  <si>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</si>
  <si>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</si>
  <si>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</si>
  <si>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</si>
  <si>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</si>
  <si>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</si>
  <si>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</si>
  <si>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</si>
  <si>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</si>
  <si>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</si>
  <si>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</si>
  <si>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</si>
  <si>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</si>
  <si>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</si>
  <si>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</si>
  <si>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</si>
  <si>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</si>
  <si>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</si>
  <si>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</si>
  <si>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</si>
  <si>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</si>
  <si>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</si>
  <si>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</si>
  <si>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</si>
  <si>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</si>
  <si>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</si>
  <si>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</si>
  <si>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</si>
  <si>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</si>
  <si>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</si>
  <si>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</si>
  <si>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</si>
  <si>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</si>
  <si>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</si>
  <si>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</si>
  <si>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</si>
  <si>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</si>
  <si>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</si>
  <si>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</si>
  <si>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</si>
  <si>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</si>
  <si>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</si>
  <si>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</si>
  <si>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</si>
  <si>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</si>
  <si>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</si>
  <si>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</si>
  <si>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</si>
  <si>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</si>
  <si>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</si>
  <si>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</si>
  <si>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</si>
  <si>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</si>
  <si>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</si>
  <si>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</si>
  <si>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</si>
  <si>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</si>
  <si>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</si>
  <si>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</si>
  <si>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</si>
  <si>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</si>
  <si>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</si>
  <si>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</si>
  <si>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</si>
  <si>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</si>
  <si>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</si>
  <si>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</si>
  <si>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</si>
  <si>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</si>
  <si>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</si>
  <si>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</si>
  <si>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</si>
  <si>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</si>
  <si>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</si>
  <si>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</si>
  <si>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</si>
  <si>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</si>
  <si>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</si>
  <si>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</si>
  <si>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</si>
  <si>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</si>
  <si>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</si>
  <si>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</si>
  <si>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</si>
  <si>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</si>
  <si>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</si>
  <si>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</si>
  <si>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</si>
  <si>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</si>
  <si>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</si>
  <si>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</si>
  <si>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</si>
  <si>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</si>
  <si>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</si>
  <si>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</si>
  <si>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</si>
  <si>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</si>
  <si>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</si>
  <si>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</si>
  <si>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</si>
  <si>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</si>
  <si>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</si>
  <si>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</si>
  <si>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</si>
  <si>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</si>
  <si>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</si>
  <si>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</si>
  <si>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</si>
  <si>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</si>
  <si>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</si>
  <si>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</si>
  <si>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</si>
  <si>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</si>
  <si>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</si>
  <si>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</si>
  <si>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</si>
  <si>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</si>
  <si>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</si>
  <si>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</si>
  <si>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</si>
  <si>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</si>
  <si>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</si>
  <si>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</si>
  <si>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</si>
  <si>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</si>
  <si>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</si>
  <si>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</si>
  <si>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</si>
  <si>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</si>
  <si>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</si>
  <si>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</si>
  <si>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</si>
  <si>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</si>
  <si>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</si>
  <si>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</si>
  <si>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</si>
  <si>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</si>
  <si>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</si>
  <si>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</si>
  <si>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</si>
  <si>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</si>
  <si>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</si>
  <si>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</si>
  <si>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</si>
  <si>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</si>
  <si>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</si>
  <si>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</si>
  <si>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</si>
  <si>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</si>
  <si>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</si>
  <si>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</si>
  <si>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</si>
  <si>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</si>
  <si>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</si>
  <si>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</si>
  <si>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</si>
  <si>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</si>
  <si>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</si>
  <si>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</si>
  <si>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</si>
  <si>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</si>
  <si>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</si>
  <si>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</si>
  <si>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</si>
  <si>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</si>
  <si>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</si>
  <si>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</si>
  <si>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</si>
  <si>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</si>
  <si>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</si>
  <si>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</si>
  <si>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</si>
  <si>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</si>
  <si>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</si>
  <si>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</si>
  <si>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</si>
  <si>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</si>
  <si>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</si>
  <si>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</si>
  <si>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</si>
  <si>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</si>
  <si>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</si>
  <si>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</si>
  <si>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</si>
  <si>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</si>
  <si>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</si>
  <si>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</si>
  <si>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بدهی به حسین 20.4 کیلو برنج 18.5  16/9/98</t>
  </si>
  <si>
    <t>19/9/1398</t>
  </si>
  <si>
    <t>20/9/1398</t>
  </si>
  <si>
    <t>27/9/1398</t>
  </si>
  <si>
    <t>30/9/1398</t>
  </si>
  <si>
    <t>2/10/1398</t>
  </si>
  <si>
    <t>3/10/1398</t>
  </si>
  <si>
    <t>4/10/1398</t>
  </si>
  <si>
    <t>mehdi 6/10/98</t>
  </si>
  <si>
    <t>واریز 18 میلیون تومن حساب مریم</t>
  </si>
  <si>
    <t>7/10/1398</t>
  </si>
  <si>
    <t>6/10/1398</t>
  </si>
  <si>
    <t>8/10/1398</t>
  </si>
  <si>
    <t>طلب علی از مهدی سهام  73500 تا وغدیر</t>
  </si>
  <si>
    <t>زاگرس 2616 تا 6850</t>
  </si>
  <si>
    <t>زاگرس 157 تا 6850.1</t>
  </si>
  <si>
    <t>بدهی به رضا معادل 5000 تا وغدیر و 200 دلار 12100 تومن و 1000 یورو 13700 تومنی</t>
  </si>
  <si>
    <t>وغدیر 182187 تا 241.4</t>
  </si>
  <si>
    <t>پارس 68 تا 6047.5</t>
  </si>
  <si>
    <t>زاگرس 75 تا 6814.3</t>
  </si>
  <si>
    <t>شپدیس 200 تا 2249.4</t>
  </si>
  <si>
    <t>9/10/1398</t>
  </si>
  <si>
    <t>10/10/1398</t>
  </si>
  <si>
    <t>دریافت 488602 حساب علی</t>
  </si>
  <si>
    <t>بدهی علی به صندوق 10/10/98</t>
  </si>
  <si>
    <t>پول مهد ایلیا 11/10/98</t>
  </si>
  <si>
    <t>11/10/1398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</si>
</sst>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abSelected="1" topLeftCell="A94" workbookViewId="0">
      <selection activeCell="D105" sqref="D10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-530000</v>
      </c>
      <c r="E104" s="255" t="s">
        <v>5437</v>
      </c>
    </row>
    <row r="105" spans="4:10">
      <c r="D105" s="18"/>
      <c r="E105" s="255"/>
    </row>
    <row r="106" spans="4:10">
      <c r="D106" s="18"/>
      <c r="E106" s="96"/>
    </row>
    <row r="107" spans="4:10">
      <c r="D107" s="18"/>
      <c r="E107" s="96" t="s">
        <v>25</v>
      </c>
      <c r="G107" t="s">
        <v>25</v>
      </c>
    </row>
    <row r="108" spans="4:10">
      <c r="D108" s="18">
        <f>SUM(D40:D107)</f>
        <v>27081459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4930</v>
      </c>
      <c r="B276" s="113">
        <v>-104671</v>
      </c>
      <c r="C276" s="99">
        <v>1</v>
      </c>
      <c r="D276" s="99">
        <f t="shared" ref="D276:D280" si="11">D277+C276</f>
        <v>220</v>
      </c>
      <c r="E276" s="99">
        <f t="shared" ref="E276:E280" si="12">IF(B277&gt;0,1,0)</f>
        <v>0</v>
      </c>
      <c r="F276" s="99">
        <f t="shared" si="9"/>
        <v>-23027620</v>
      </c>
      <c r="G276" s="99"/>
    </row>
    <row r="277" spans="1:11">
      <c r="A277" s="99" t="s">
        <v>4932</v>
      </c>
      <c r="B277" s="113">
        <v>-272000</v>
      </c>
      <c r="C277" s="99">
        <v>1</v>
      </c>
      <c r="D277" s="99">
        <f t="shared" si="11"/>
        <v>219</v>
      </c>
      <c r="E277" s="99">
        <f t="shared" si="12"/>
        <v>0</v>
      </c>
      <c r="F277" s="99">
        <f t="shared" si="9"/>
        <v>-59568000</v>
      </c>
      <c r="G277" s="99"/>
    </row>
    <row r="278" spans="1:11">
      <c r="A278" s="99" t="s">
        <v>4934</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4951</v>
      </c>
      <c r="B280" s="113">
        <v>-3810</v>
      </c>
      <c r="C280" s="99">
        <v>1</v>
      </c>
      <c r="D280" s="99">
        <f t="shared" si="11"/>
        <v>215</v>
      </c>
      <c r="E280" s="99">
        <f t="shared" si="12"/>
        <v>0</v>
      </c>
      <c r="F280" s="99">
        <f t="shared" si="9"/>
        <v>-819150</v>
      </c>
      <c r="G280" s="99"/>
      <c r="J280" t="s">
        <v>25</v>
      </c>
    </row>
    <row r="281" spans="1:11">
      <c r="A281" s="99" t="s">
        <v>4952</v>
      </c>
      <c r="B281" s="113">
        <v>-120632</v>
      </c>
      <c r="C281" s="99">
        <v>1</v>
      </c>
      <c r="D281" s="99">
        <f t="shared" ref="D281:D288" si="13">D282+C281</f>
        <v>214</v>
      </c>
      <c r="E281" s="99">
        <f t="shared" ref="E281:E288" si="14">IF(B282&gt;0,1,0)</f>
        <v>1</v>
      </c>
      <c r="F281" s="99">
        <f t="shared" si="9"/>
        <v>-25694616</v>
      </c>
      <c r="G281" s="99"/>
      <c r="J281" t="s">
        <v>25</v>
      </c>
    </row>
    <row r="282" spans="1:11">
      <c r="A282" s="99" t="s">
        <v>4940</v>
      </c>
      <c r="B282" s="113">
        <v>80000</v>
      </c>
      <c r="C282" s="99">
        <v>0</v>
      </c>
      <c r="D282" s="99">
        <f t="shared" si="13"/>
        <v>213</v>
      </c>
      <c r="E282" s="99">
        <f t="shared" si="14"/>
        <v>0</v>
      </c>
      <c r="F282" s="99">
        <f t="shared" si="9"/>
        <v>17040000</v>
      </c>
      <c r="G282" s="99"/>
    </row>
    <row r="283" spans="1:11">
      <c r="A283" s="99" t="s">
        <v>4940</v>
      </c>
      <c r="B283" s="113">
        <v>-2500</v>
      </c>
      <c r="C283" s="99">
        <v>1</v>
      </c>
      <c r="D283" s="99">
        <f t="shared" si="13"/>
        <v>213</v>
      </c>
      <c r="E283" s="99">
        <f t="shared" si="14"/>
        <v>0</v>
      </c>
      <c r="F283" s="99">
        <f t="shared" si="9"/>
        <v>-532500</v>
      </c>
      <c r="G283" s="99"/>
      <c r="J283" s="114">
        <f>B359-498804</f>
        <v>-384436</v>
      </c>
    </row>
    <row r="284" spans="1:11">
      <c r="A284" s="99" t="s">
        <v>4945</v>
      </c>
      <c r="B284" s="113">
        <v>-30000</v>
      </c>
      <c r="C284" s="99">
        <v>1</v>
      </c>
      <c r="D284" s="99">
        <f t="shared" si="13"/>
        <v>212</v>
      </c>
      <c r="E284" s="99">
        <f t="shared" si="14"/>
        <v>0</v>
      </c>
      <c r="F284" s="99">
        <f t="shared" si="9"/>
        <v>-6360000</v>
      </c>
      <c r="G284" s="99"/>
    </row>
    <row r="285" spans="1:11">
      <c r="A285" s="99" t="s">
        <v>4953</v>
      </c>
      <c r="B285" s="113">
        <v>-19800</v>
      </c>
      <c r="C285" s="99">
        <v>1</v>
      </c>
      <c r="D285" s="99">
        <f t="shared" si="13"/>
        <v>211</v>
      </c>
      <c r="E285" s="99">
        <f t="shared" si="14"/>
        <v>1</v>
      </c>
      <c r="F285" s="99">
        <f t="shared" si="9"/>
        <v>-4158000</v>
      </c>
      <c r="G285" s="99"/>
      <c r="K285" t="s">
        <v>25</v>
      </c>
    </row>
    <row r="286" spans="1:11">
      <c r="A286" s="99" t="s">
        <v>4944</v>
      </c>
      <c r="B286" s="113">
        <v>940000</v>
      </c>
      <c r="C286" s="99">
        <v>0</v>
      </c>
      <c r="D286" s="99">
        <f t="shared" si="13"/>
        <v>210</v>
      </c>
      <c r="E286" s="99">
        <f t="shared" si="14"/>
        <v>0</v>
      </c>
      <c r="F286" s="99">
        <f t="shared" si="9"/>
        <v>197400000</v>
      </c>
      <c r="G286" s="99"/>
    </row>
    <row r="287" spans="1:11">
      <c r="A287" s="99" t="s">
        <v>4944</v>
      </c>
      <c r="B287" s="113">
        <v>-201000</v>
      </c>
      <c r="C287" s="99">
        <v>1</v>
      </c>
      <c r="D287" s="99">
        <f t="shared" si="13"/>
        <v>210</v>
      </c>
      <c r="E287" s="99">
        <f t="shared" si="14"/>
        <v>0</v>
      </c>
      <c r="F287" s="99">
        <f t="shared" si="9"/>
        <v>-42210000</v>
      </c>
      <c r="G287" s="99"/>
    </row>
    <row r="288" spans="1:11">
      <c r="A288" s="99" t="s">
        <v>4949</v>
      </c>
      <c r="B288" s="113">
        <v>-320930</v>
      </c>
      <c r="C288" s="99">
        <v>3</v>
      </c>
      <c r="D288" s="99">
        <f t="shared" si="13"/>
        <v>209</v>
      </c>
      <c r="E288" s="99">
        <f t="shared" si="14"/>
        <v>0</v>
      </c>
      <c r="F288" s="99">
        <f t="shared" si="9"/>
        <v>-67074370</v>
      </c>
      <c r="G288" s="99"/>
    </row>
    <row r="289" spans="1:10">
      <c r="A289" s="99" t="s">
        <v>4950</v>
      </c>
      <c r="B289" s="113">
        <v>-400000</v>
      </c>
      <c r="C289" s="99">
        <v>1</v>
      </c>
      <c r="D289" s="99">
        <f t="shared" ref="D289:D306" si="15">D290+C289</f>
        <v>206</v>
      </c>
      <c r="E289" s="99">
        <f t="shared" ref="E289:E306" si="16">IF(B290&gt;0,1,0)</f>
        <v>0</v>
      </c>
      <c r="F289" s="99">
        <f t="shared" si="9"/>
        <v>-82400000</v>
      </c>
      <c r="G289" s="99"/>
    </row>
    <row r="290" spans="1:10">
      <c r="A290" s="99" t="s">
        <v>4957</v>
      </c>
      <c r="B290" s="113">
        <v>-16500</v>
      </c>
      <c r="C290" s="99">
        <v>11</v>
      </c>
      <c r="D290" s="99">
        <f t="shared" si="15"/>
        <v>205</v>
      </c>
      <c r="E290" s="99">
        <f t="shared" si="16"/>
        <v>1</v>
      </c>
      <c r="F290" s="99">
        <f t="shared" si="9"/>
        <v>-3366000</v>
      </c>
      <c r="G290" s="99"/>
    </row>
    <row r="291" spans="1:10">
      <c r="A291" s="99" t="s">
        <v>4979</v>
      </c>
      <c r="B291" s="113">
        <v>2600000</v>
      </c>
      <c r="C291" s="99">
        <v>2</v>
      </c>
      <c r="D291" s="99">
        <f t="shared" si="15"/>
        <v>194</v>
      </c>
      <c r="E291" s="99">
        <f t="shared" si="16"/>
        <v>0</v>
      </c>
      <c r="F291" s="99">
        <f t="shared" si="9"/>
        <v>504400000</v>
      </c>
      <c r="G291" s="99"/>
      <c r="I291" t="s">
        <v>25</v>
      </c>
    </row>
    <row r="292" spans="1:10">
      <c r="A292" s="99" t="s">
        <v>4980</v>
      </c>
      <c r="B292" s="113">
        <v>-1170000</v>
      </c>
      <c r="C292" s="99">
        <v>0</v>
      </c>
      <c r="D292" s="99">
        <f t="shared" si="15"/>
        <v>192</v>
      </c>
      <c r="E292" s="99">
        <f t="shared" si="16"/>
        <v>0</v>
      </c>
      <c r="F292" s="99">
        <f t="shared" si="9"/>
        <v>-224640000</v>
      </c>
      <c r="G292" s="99" t="s">
        <v>4981</v>
      </c>
      <c r="J292" t="s">
        <v>25</v>
      </c>
    </row>
    <row r="293" spans="1:10">
      <c r="A293" s="99" t="s">
        <v>4980</v>
      </c>
      <c r="B293" s="113">
        <v>-9000</v>
      </c>
      <c r="C293" s="99">
        <v>1</v>
      </c>
      <c r="D293" s="99">
        <f t="shared" si="15"/>
        <v>192</v>
      </c>
      <c r="E293" s="99">
        <f t="shared" si="16"/>
        <v>0</v>
      </c>
      <c r="F293" s="99">
        <f t="shared" si="9"/>
        <v>-1728000</v>
      </c>
      <c r="G293" s="99"/>
    </row>
    <row r="294" spans="1:10">
      <c r="A294" s="99" t="s">
        <v>4982</v>
      </c>
      <c r="B294" s="113">
        <v>-1145000</v>
      </c>
      <c r="C294" s="99">
        <v>0</v>
      </c>
      <c r="D294" s="99">
        <f t="shared" si="15"/>
        <v>191</v>
      </c>
      <c r="E294" s="99">
        <f t="shared" si="16"/>
        <v>0</v>
      </c>
      <c r="F294" s="99">
        <f t="shared" si="9"/>
        <v>-218695000</v>
      </c>
      <c r="G294" s="99" t="s">
        <v>4983</v>
      </c>
    </row>
    <row r="295" spans="1:10">
      <c r="A295" s="99" t="s">
        <v>4982</v>
      </c>
      <c r="B295" s="113">
        <v>-94549</v>
      </c>
      <c r="C295" s="99">
        <v>2</v>
      </c>
      <c r="D295" s="99">
        <f t="shared" si="15"/>
        <v>191</v>
      </c>
      <c r="E295" s="99">
        <f t="shared" si="16"/>
        <v>0</v>
      </c>
      <c r="F295" s="99">
        <f t="shared" si="9"/>
        <v>-18058859</v>
      </c>
      <c r="G295" s="99" t="s">
        <v>506</v>
      </c>
      <c r="J295" t="s">
        <v>25</v>
      </c>
    </row>
    <row r="296" spans="1:10">
      <c r="A296" s="99" t="s">
        <v>5179</v>
      </c>
      <c r="B296" s="113">
        <v>-3500</v>
      </c>
      <c r="C296" s="99">
        <v>1</v>
      </c>
      <c r="D296" s="99">
        <f t="shared" si="15"/>
        <v>189</v>
      </c>
      <c r="E296" s="99">
        <f t="shared" si="16"/>
        <v>0</v>
      </c>
      <c r="F296" s="99">
        <f t="shared" si="9"/>
        <v>-661500</v>
      </c>
      <c r="G296" s="99"/>
      <c r="I296" s="114">
        <f>B359-735892</f>
        <v>-621524</v>
      </c>
    </row>
    <row r="297" spans="1:10">
      <c r="A297" s="99" t="s">
        <v>4991</v>
      </c>
      <c r="B297" s="113">
        <v>-44900</v>
      </c>
      <c r="C297" s="99">
        <v>0</v>
      </c>
      <c r="D297" s="99">
        <f t="shared" si="15"/>
        <v>188</v>
      </c>
      <c r="E297" s="99">
        <f t="shared" si="16"/>
        <v>0</v>
      </c>
      <c r="F297" s="99">
        <f t="shared" si="9"/>
        <v>-8441200</v>
      </c>
      <c r="G297" s="99"/>
    </row>
    <row r="298" spans="1:10">
      <c r="A298" s="99" t="s">
        <v>4991</v>
      </c>
      <c r="B298" s="113">
        <v>-50000</v>
      </c>
      <c r="C298" s="99">
        <v>10</v>
      </c>
      <c r="D298" s="99">
        <f t="shared" si="15"/>
        <v>188</v>
      </c>
      <c r="E298" s="99">
        <f t="shared" si="16"/>
        <v>0</v>
      </c>
      <c r="F298" s="99">
        <f t="shared" si="9"/>
        <v>-9400000</v>
      </c>
      <c r="G298" s="99" t="s">
        <v>506</v>
      </c>
    </row>
    <row r="299" spans="1:10">
      <c r="A299" s="99" t="s">
        <v>5011</v>
      </c>
      <c r="B299" s="113">
        <v>-19850</v>
      </c>
      <c r="C299" s="99">
        <v>1</v>
      </c>
      <c r="D299" s="99">
        <f t="shared" si="15"/>
        <v>178</v>
      </c>
      <c r="E299" s="99">
        <f t="shared" si="16"/>
        <v>0</v>
      </c>
      <c r="F299" s="99">
        <f t="shared" si="9"/>
        <v>-3533300</v>
      </c>
      <c r="G299" s="99"/>
    </row>
    <row r="300" spans="1:10">
      <c r="A300" s="99" t="s">
        <v>5012</v>
      </c>
      <c r="B300" s="113">
        <v>-39770</v>
      </c>
      <c r="C300" s="99">
        <v>6</v>
      </c>
      <c r="D300" s="99">
        <f t="shared" si="15"/>
        <v>177</v>
      </c>
      <c r="E300" s="99">
        <f t="shared" si="16"/>
        <v>0</v>
      </c>
      <c r="F300" s="99">
        <f t="shared" si="9"/>
        <v>-7039290</v>
      </c>
      <c r="G300" s="99"/>
    </row>
    <row r="301" spans="1:10">
      <c r="A301" s="99" t="s">
        <v>5036</v>
      </c>
      <c r="B301" s="113">
        <v>-40000</v>
      </c>
      <c r="C301" s="99">
        <v>71</v>
      </c>
      <c r="D301" s="99">
        <f t="shared" si="15"/>
        <v>171</v>
      </c>
      <c r="E301" s="99">
        <f t="shared" si="16"/>
        <v>1</v>
      </c>
      <c r="F301" s="99">
        <f t="shared" si="9"/>
        <v>-6800000</v>
      </c>
      <c r="G301" s="99"/>
    </row>
    <row r="302" spans="1:10">
      <c r="A302" s="99" t="s">
        <v>5165</v>
      </c>
      <c r="B302" s="113">
        <v>4000000</v>
      </c>
      <c r="C302" s="99">
        <v>1</v>
      </c>
      <c r="D302" s="99">
        <f t="shared" si="15"/>
        <v>100</v>
      </c>
      <c r="E302" s="99">
        <f t="shared" si="16"/>
        <v>0</v>
      </c>
      <c r="F302" s="99">
        <f t="shared" si="9"/>
        <v>400000000</v>
      </c>
      <c r="G302" s="99"/>
    </row>
    <row r="303" spans="1:10">
      <c r="A303" s="99" t="s">
        <v>5170</v>
      </c>
      <c r="B303" s="113">
        <v>-123860</v>
      </c>
      <c r="C303" s="99">
        <v>1</v>
      </c>
      <c r="D303" s="99">
        <f t="shared" si="15"/>
        <v>99</v>
      </c>
      <c r="E303" s="99">
        <f t="shared" si="16"/>
        <v>0</v>
      </c>
      <c r="F303" s="99">
        <f t="shared" si="9"/>
        <v>-12262140</v>
      </c>
      <c r="G303" s="99"/>
    </row>
    <row r="304" spans="1:10">
      <c r="A304" s="99" t="s">
        <v>5128</v>
      </c>
      <c r="B304" s="113">
        <v>-1660000</v>
      </c>
      <c r="C304" s="99">
        <v>1</v>
      </c>
      <c r="D304" s="99">
        <f t="shared" si="15"/>
        <v>98</v>
      </c>
      <c r="E304" s="99">
        <f t="shared" si="16"/>
        <v>0</v>
      </c>
      <c r="F304" s="99">
        <f t="shared" si="9"/>
        <v>-162680000</v>
      </c>
      <c r="G304" s="99"/>
    </row>
    <row r="305" spans="1:11">
      <c r="A305" s="99" t="s">
        <v>5177</v>
      </c>
      <c r="B305" s="113">
        <v>-63857</v>
      </c>
      <c r="C305" s="99">
        <v>0</v>
      </c>
      <c r="D305" s="99">
        <f t="shared" si="15"/>
        <v>97</v>
      </c>
      <c r="E305" s="99">
        <f t="shared" si="16"/>
        <v>0</v>
      </c>
      <c r="F305" s="99">
        <f t="shared" si="9"/>
        <v>-6194129</v>
      </c>
      <c r="G305" s="99"/>
    </row>
    <row r="306" spans="1:11">
      <c r="A306" s="99" t="s">
        <v>5180</v>
      </c>
      <c r="B306" s="113">
        <v>-631</v>
      </c>
      <c r="C306" s="99">
        <v>2</v>
      </c>
      <c r="D306" s="99">
        <f t="shared" si="15"/>
        <v>97</v>
      </c>
      <c r="E306" s="99">
        <f t="shared" si="16"/>
        <v>0</v>
      </c>
      <c r="F306" s="99">
        <f t="shared" si="9"/>
        <v>-61207</v>
      </c>
      <c r="G306" s="99" t="s">
        <v>506</v>
      </c>
      <c r="J306" t="s">
        <v>25</v>
      </c>
    </row>
    <row r="307" spans="1:11">
      <c r="A307" s="99" t="s">
        <v>5185</v>
      </c>
      <c r="B307" s="113">
        <v>-248905</v>
      </c>
      <c r="C307" s="99">
        <v>2</v>
      </c>
      <c r="D307" s="99">
        <f t="shared" ref="D307:D318" si="17">D308+C307</f>
        <v>95</v>
      </c>
      <c r="E307" s="99">
        <f t="shared" ref="E307:E318" si="18">IF(B308&gt;0,1,0)</f>
        <v>0</v>
      </c>
      <c r="F307" s="99">
        <f t="shared" si="9"/>
        <v>-23645975</v>
      </c>
      <c r="G307" s="99"/>
    </row>
    <row r="308" spans="1:11">
      <c r="A308" s="99" t="s">
        <v>5183</v>
      </c>
      <c r="B308" s="113">
        <v>-200000</v>
      </c>
      <c r="C308" s="99">
        <v>0</v>
      </c>
      <c r="D308" s="99">
        <f t="shared" si="17"/>
        <v>93</v>
      </c>
      <c r="E308" s="99">
        <f t="shared" si="18"/>
        <v>0</v>
      </c>
      <c r="F308" s="99">
        <f t="shared" si="9"/>
        <v>-18600000</v>
      </c>
      <c r="G308" s="99"/>
    </row>
    <row r="309" spans="1:11">
      <c r="A309" s="99" t="s">
        <v>5183</v>
      </c>
      <c r="B309" s="113">
        <v>-200000</v>
      </c>
      <c r="C309" s="99">
        <v>3</v>
      </c>
      <c r="D309" s="99">
        <f t="shared" si="17"/>
        <v>93</v>
      </c>
      <c r="E309" s="99">
        <f t="shared" si="18"/>
        <v>0</v>
      </c>
      <c r="F309" s="99">
        <f t="shared" si="9"/>
        <v>-18600000</v>
      </c>
      <c r="G309" s="99"/>
    </row>
    <row r="310" spans="1:11">
      <c r="A310" s="99" t="s">
        <v>5192</v>
      </c>
      <c r="B310" s="113">
        <v>-832590</v>
      </c>
      <c r="C310" s="99">
        <v>0</v>
      </c>
      <c r="D310" s="99">
        <f t="shared" si="17"/>
        <v>90</v>
      </c>
      <c r="E310" s="99">
        <f t="shared" si="18"/>
        <v>0</v>
      </c>
      <c r="F310" s="99">
        <f t="shared" si="9"/>
        <v>-74933100</v>
      </c>
      <c r="G310" s="99"/>
    </row>
    <row r="311" spans="1:11">
      <c r="A311" s="99" t="s">
        <v>5192</v>
      </c>
      <c r="B311" s="113">
        <v>-29950</v>
      </c>
      <c r="C311" s="99">
        <v>1</v>
      </c>
      <c r="D311" s="99">
        <f t="shared" si="17"/>
        <v>90</v>
      </c>
      <c r="E311" s="99">
        <f t="shared" si="18"/>
        <v>0</v>
      </c>
      <c r="F311" s="99">
        <f t="shared" si="9"/>
        <v>-2695500</v>
      </c>
      <c r="G311" s="99"/>
      <c r="K311" t="s">
        <v>25</v>
      </c>
    </row>
    <row r="312" spans="1:11">
      <c r="A312" s="99" t="s">
        <v>5250</v>
      </c>
      <c r="B312" s="113">
        <v>-8500</v>
      </c>
      <c r="C312" s="99">
        <v>1</v>
      </c>
      <c r="D312" s="99">
        <f t="shared" si="17"/>
        <v>89</v>
      </c>
      <c r="E312" s="99">
        <f t="shared" si="18"/>
        <v>0</v>
      </c>
      <c r="F312" s="99">
        <f t="shared" si="9"/>
        <v>-756500</v>
      </c>
      <c r="G312" s="99"/>
    </row>
    <row r="313" spans="1:11">
      <c r="A313" s="99" t="s">
        <v>5214</v>
      </c>
      <c r="B313" s="113">
        <v>-116300</v>
      </c>
      <c r="C313" s="99">
        <v>1</v>
      </c>
      <c r="D313" s="99">
        <f t="shared" si="17"/>
        <v>88</v>
      </c>
      <c r="E313" s="99">
        <f t="shared" si="18"/>
        <v>0</v>
      </c>
      <c r="F313" s="99">
        <f t="shared" si="9"/>
        <v>-10234400</v>
      </c>
      <c r="G313" s="99"/>
    </row>
    <row r="314" spans="1:11">
      <c r="A314" s="99" t="s">
        <v>5197</v>
      </c>
      <c r="B314" s="113">
        <v>-75500</v>
      </c>
      <c r="C314" s="99">
        <v>1</v>
      </c>
      <c r="D314" s="99">
        <f t="shared" si="17"/>
        <v>87</v>
      </c>
      <c r="E314" s="99">
        <f t="shared" si="18"/>
        <v>0</v>
      </c>
      <c r="F314" s="99">
        <f t="shared" ref="F314:F331" si="19">B314*(D314-E314)</f>
        <v>-6568500</v>
      </c>
      <c r="G314" s="99"/>
    </row>
    <row r="315" spans="1:11">
      <c r="A315" s="99" t="s">
        <v>5208</v>
      </c>
      <c r="B315" s="113">
        <v>-331250</v>
      </c>
      <c r="C315" s="99">
        <v>2</v>
      </c>
      <c r="D315" s="99">
        <f t="shared" si="17"/>
        <v>86</v>
      </c>
      <c r="E315" s="99">
        <f t="shared" si="18"/>
        <v>0</v>
      </c>
      <c r="F315" s="99">
        <f t="shared" si="19"/>
        <v>-28487500</v>
      </c>
      <c r="G315" s="99"/>
    </row>
    <row r="316" spans="1:11">
      <c r="A316" s="99" t="s">
        <v>5251</v>
      </c>
      <c r="B316" s="113">
        <v>-39000</v>
      </c>
      <c r="C316" s="99">
        <v>1</v>
      </c>
      <c r="D316" s="99">
        <f t="shared" si="17"/>
        <v>84</v>
      </c>
      <c r="E316" s="99">
        <f t="shared" si="18"/>
        <v>0</v>
      </c>
      <c r="F316" s="99">
        <f t="shared" si="19"/>
        <v>-3276000</v>
      </c>
      <c r="G316" s="99"/>
      <c r="I316" s="114"/>
    </row>
    <row r="317" spans="1:11">
      <c r="A317" s="99" t="s">
        <v>5210</v>
      </c>
      <c r="B317" s="113">
        <v>-44000</v>
      </c>
      <c r="C317" s="99">
        <v>3</v>
      </c>
      <c r="D317" s="99">
        <f t="shared" si="17"/>
        <v>83</v>
      </c>
      <c r="E317" s="99">
        <f t="shared" si="18"/>
        <v>0</v>
      </c>
      <c r="F317" s="99">
        <f t="shared" si="19"/>
        <v>-3652000</v>
      </c>
      <c r="G317" s="99"/>
      <c r="J317" t="s">
        <v>25</v>
      </c>
    </row>
    <row r="318" spans="1:11">
      <c r="A318" s="99" t="s">
        <v>5145</v>
      </c>
      <c r="B318" s="113">
        <v>-30476</v>
      </c>
      <c r="C318" s="99">
        <v>1</v>
      </c>
      <c r="D318" s="99">
        <f t="shared" si="17"/>
        <v>80</v>
      </c>
      <c r="E318" s="99">
        <f t="shared" si="18"/>
        <v>0</v>
      </c>
      <c r="F318" s="99">
        <f t="shared" si="19"/>
        <v>-2438080</v>
      </c>
      <c r="G318" s="99"/>
    </row>
    <row r="319" spans="1:11">
      <c r="A319" s="99" t="s">
        <v>5219</v>
      </c>
      <c r="B319" s="113">
        <v>-4000</v>
      </c>
      <c r="C319" s="99">
        <v>11</v>
      </c>
      <c r="D319" s="99">
        <f t="shared" ref="D319:D326" si="20">D320+C319</f>
        <v>79</v>
      </c>
      <c r="E319" s="99">
        <f t="shared" ref="E319:E326" si="21">IF(B320&gt;0,1,0)</f>
        <v>1</v>
      </c>
      <c r="F319" s="99">
        <f t="shared" si="19"/>
        <v>-312000</v>
      </c>
      <c r="G319" s="99"/>
    </row>
    <row r="320" spans="1:11">
      <c r="A320" s="99" t="s">
        <v>5252</v>
      </c>
      <c r="B320" s="113">
        <v>6300000</v>
      </c>
      <c r="C320" s="99">
        <v>1</v>
      </c>
      <c r="D320" s="99">
        <f t="shared" si="20"/>
        <v>68</v>
      </c>
      <c r="E320" s="99">
        <f t="shared" si="21"/>
        <v>0</v>
      </c>
      <c r="F320" s="99">
        <f t="shared" si="19"/>
        <v>428400000</v>
      </c>
      <c r="G320" s="99"/>
    </row>
    <row r="321" spans="1:9">
      <c r="A321" s="99" t="s">
        <v>5281</v>
      </c>
      <c r="B321" s="113">
        <v>-6000000</v>
      </c>
      <c r="C321" s="99">
        <v>2</v>
      </c>
      <c r="D321" s="99">
        <f t="shared" si="20"/>
        <v>67</v>
      </c>
      <c r="E321" s="99">
        <f t="shared" si="21"/>
        <v>0</v>
      </c>
      <c r="F321" s="99">
        <f t="shared" si="19"/>
        <v>-402000000</v>
      </c>
      <c r="G321" s="99"/>
    </row>
    <row r="322" spans="1:9">
      <c r="A322" s="99" t="s">
        <v>5277</v>
      </c>
      <c r="B322" s="113">
        <v>-295000</v>
      </c>
      <c r="C322" s="99">
        <v>0</v>
      </c>
      <c r="D322" s="99">
        <f t="shared" si="20"/>
        <v>65</v>
      </c>
      <c r="E322" s="99">
        <f t="shared" si="21"/>
        <v>1</v>
      </c>
      <c r="F322" s="99">
        <f t="shared" si="19"/>
        <v>-18880000</v>
      </c>
      <c r="G322" s="99"/>
    </row>
    <row r="323" spans="1:9">
      <c r="A323" s="99" t="s">
        <v>5277</v>
      </c>
      <c r="B323" s="113">
        <v>483</v>
      </c>
      <c r="C323" s="99">
        <v>8</v>
      </c>
      <c r="D323" s="99">
        <f t="shared" si="20"/>
        <v>65</v>
      </c>
      <c r="E323" s="99">
        <f t="shared" si="21"/>
        <v>1</v>
      </c>
      <c r="F323" s="99">
        <f t="shared" si="19"/>
        <v>30912</v>
      </c>
      <c r="G323" s="99" t="s">
        <v>694</v>
      </c>
      <c r="I323" t="s">
        <v>25</v>
      </c>
    </row>
    <row r="324" spans="1:9">
      <c r="A324" s="99" t="s">
        <v>5307</v>
      </c>
      <c r="B324" s="113">
        <v>1700000</v>
      </c>
      <c r="C324" s="99">
        <v>0</v>
      </c>
      <c r="D324" s="99">
        <f t="shared" si="20"/>
        <v>57</v>
      </c>
      <c r="E324" s="99">
        <f t="shared" si="21"/>
        <v>0</v>
      </c>
      <c r="F324" s="99">
        <f t="shared" si="19"/>
        <v>96900000</v>
      </c>
      <c r="G324" s="99"/>
    </row>
    <row r="325" spans="1:9">
      <c r="A325" s="99" t="s">
        <v>5307</v>
      </c>
      <c r="B325" s="113">
        <v>-53000</v>
      </c>
      <c r="C325" s="99">
        <v>1</v>
      </c>
      <c r="D325" s="99">
        <f t="shared" si="20"/>
        <v>57</v>
      </c>
      <c r="E325" s="99">
        <f t="shared" si="21"/>
        <v>0</v>
      </c>
      <c r="F325" s="99">
        <f t="shared" si="19"/>
        <v>-3021000</v>
      </c>
      <c r="G325" s="99"/>
    </row>
    <row r="326" spans="1:9">
      <c r="A326" s="99" t="s">
        <v>5308</v>
      </c>
      <c r="B326" s="113">
        <v>-1300000</v>
      </c>
      <c r="C326" s="99">
        <v>0</v>
      </c>
      <c r="D326" s="99">
        <f t="shared" si="20"/>
        <v>56</v>
      </c>
      <c r="E326" s="99">
        <f t="shared" si="21"/>
        <v>0</v>
      </c>
      <c r="F326" s="99">
        <f t="shared" si="19"/>
        <v>-72800000</v>
      </c>
      <c r="G326" s="99"/>
      <c r="I326" t="s">
        <v>25</v>
      </c>
    </row>
    <row r="327" spans="1:9">
      <c r="A327" s="99" t="s">
        <v>5308</v>
      </c>
      <c r="B327" s="113">
        <v>-41500</v>
      </c>
      <c r="C327" s="99">
        <v>1</v>
      </c>
      <c r="D327" s="99">
        <f t="shared" ref="D327:D331" si="22">D328+C327</f>
        <v>56</v>
      </c>
      <c r="E327" s="99">
        <f t="shared" ref="E327:E331" si="23">IF(B328&gt;0,1,0)</f>
        <v>0</v>
      </c>
      <c r="F327" s="99">
        <f t="shared" si="19"/>
        <v>-2324000</v>
      </c>
      <c r="G327" s="99"/>
    </row>
    <row r="328" spans="1:9">
      <c r="A328" s="99" t="s">
        <v>5314</v>
      </c>
      <c r="B328" s="113">
        <v>-57700</v>
      </c>
      <c r="C328" s="99">
        <v>3</v>
      </c>
      <c r="D328" s="99">
        <f t="shared" si="22"/>
        <v>55</v>
      </c>
      <c r="E328" s="99">
        <f t="shared" si="23"/>
        <v>0</v>
      </c>
      <c r="F328" s="99">
        <f t="shared" si="19"/>
        <v>-3173500</v>
      </c>
      <c r="G328" s="99"/>
    </row>
    <row r="329" spans="1:9">
      <c r="A329" s="99" t="s">
        <v>5317</v>
      </c>
      <c r="B329" s="113">
        <v>-5600</v>
      </c>
      <c r="C329" s="99">
        <v>1</v>
      </c>
      <c r="D329" s="99">
        <f t="shared" si="22"/>
        <v>52</v>
      </c>
      <c r="E329" s="99">
        <f t="shared" si="23"/>
        <v>0</v>
      </c>
      <c r="F329" s="99">
        <f t="shared" si="19"/>
        <v>-291200</v>
      </c>
      <c r="G329" s="99"/>
    </row>
    <row r="330" spans="1:9">
      <c r="A330" s="99" t="s">
        <v>5319</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5339</v>
      </c>
      <c r="B333" s="113">
        <v>-78508</v>
      </c>
      <c r="C333" s="99">
        <v>2</v>
      </c>
      <c r="D333" s="99">
        <f t="shared" si="24"/>
        <v>47</v>
      </c>
      <c r="E333" s="99">
        <f t="shared" si="25"/>
        <v>0</v>
      </c>
      <c r="F333" s="99">
        <f t="shared" si="26"/>
        <v>-3689876</v>
      </c>
      <c r="G333" s="99"/>
    </row>
    <row r="334" spans="1:9">
      <c r="A334" s="99" t="s">
        <v>5340</v>
      </c>
      <c r="B334" s="113">
        <v>-2000</v>
      </c>
      <c r="C334" s="99">
        <v>4</v>
      </c>
      <c r="D334" s="99">
        <f t="shared" ref="D334:D357" si="27">D335+C334</f>
        <v>45</v>
      </c>
      <c r="E334" s="99">
        <f t="shared" ref="E334:E357" si="28">IF(B335&gt;0,1,0)</f>
        <v>1</v>
      </c>
      <c r="F334" s="99">
        <f t="shared" ref="F334:F357" si="29">B334*(D334-E334)</f>
        <v>-88000</v>
      </c>
      <c r="G334" s="99"/>
    </row>
    <row r="335" spans="1:9">
      <c r="A335" s="99" t="s">
        <v>5346</v>
      </c>
      <c r="B335" s="113">
        <v>2200472</v>
      </c>
      <c r="C335" s="99">
        <v>1</v>
      </c>
      <c r="D335" s="99">
        <f t="shared" si="27"/>
        <v>41</v>
      </c>
      <c r="E335" s="99">
        <f t="shared" si="28"/>
        <v>0</v>
      </c>
      <c r="F335" s="99">
        <f t="shared" si="29"/>
        <v>90219352</v>
      </c>
      <c r="G335" s="99"/>
      <c r="H335" t="s">
        <v>25</v>
      </c>
    </row>
    <row r="336" spans="1:9">
      <c r="A336" s="99" t="s">
        <v>5354</v>
      </c>
      <c r="B336" s="113">
        <v>-28000</v>
      </c>
      <c r="C336" s="99">
        <v>2</v>
      </c>
      <c r="D336" s="99">
        <f t="shared" si="27"/>
        <v>40</v>
      </c>
      <c r="E336" s="99">
        <f t="shared" si="28"/>
        <v>1</v>
      </c>
      <c r="F336" s="99">
        <f t="shared" si="29"/>
        <v>-1092000</v>
      </c>
      <c r="G336" s="99"/>
    </row>
    <row r="337" spans="1:13">
      <c r="A337" s="99" t="s">
        <v>5352</v>
      </c>
      <c r="B337" s="113">
        <v>2500000</v>
      </c>
      <c r="C337" s="99">
        <v>0</v>
      </c>
      <c r="D337" s="99">
        <f t="shared" si="27"/>
        <v>38</v>
      </c>
      <c r="E337" s="99">
        <f t="shared" si="28"/>
        <v>0</v>
      </c>
      <c r="F337" s="99">
        <f t="shared" si="29"/>
        <v>95000000</v>
      </c>
      <c r="G337" s="99"/>
    </row>
    <row r="338" spans="1:13">
      <c r="A338" s="99" t="s">
        <v>5352</v>
      </c>
      <c r="B338" s="113">
        <v>-407500</v>
      </c>
      <c r="C338" s="99">
        <v>2</v>
      </c>
      <c r="D338" s="99">
        <f t="shared" si="27"/>
        <v>38</v>
      </c>
      <c r="E338" s="99">
        <f t="shared" si="28"/>
        <v>0</v>
      </c>
      <c r="F338" s="99">
        <f t="shared" si="29"/>
        <v>-15485000</v>
      </c>
      <c r="G338" s="99"/>
    </row>
    <row r="339" spans="1:13">
      <c r="A339" s="99" t="s">
        <v>5355</v>
      </c>
      <c r="B339" s="113">
        <v>-3600</v>
      </c>
      <c r="C339" s="99">
        <v>1</v>
      </c>
      <c r="D339" s="99">
        <f t="shared" si="27"/>
        <v>36</v>
      </c>
      <c r="E339" s="99">
        <f t="shared" si="28"/>
        <v>0</v>
      </c>
      <c r="F339" s="99">
        <f t="shared" si="29"/>
        <v>-129600</v>
      </c>
      <c r="G339" s="99"/>
    </row>
    <row r="340" spans="1:13">
      <c r="A340" s="99" t="s">
        <v>5364</v>
      </c>
      <c r="B340" s="113">
        <v>-170094</v>
      </c>
      <c r="C340" s="99">
        <v>1</v>
      </c>
      <c r="D340" s="99">
        <f t="shared" si="27"/>
        <v>35</v>
      </c>
      <c r="E340" s="99">
        <f t="shared" si="28"/>
        <v>0</v>
      </c>
      <c r="F340" s="99">
        <f t="shared" si="29"/>
        <v>-5953290</v>
      </c>
      <c r="G340" s="99"/>
      <c r="J340" t="s">
        <v>25</v>
      </c>
    </row>
    <row r="341" spans="1:13">
      <c r="A341" s="99" t="s">
        <v>5357</v>
      </c>
      <c r="B341" s="113">
        <v>-51730</v>
      </c>
      <c r="C341" s="99">
        <v>1</v>
      </c>
      <c r="D341" s="99">
        <f t="shared" si="27"/>
        <v>34</v>
      </c>
      <c r="E341" s="99">
        <f t="shared" si="28"/>
        <v>0</v>
      </c>
      <c r="F341" s="99">
        <f t="shared" si="29"/>
        <v>-1758820</v>
      </c>
      <c r="G341" s="99"/>
    </row>
    <row r="342" spans="1:13">
      <c r="A342" s="99" t="s">
        <v>5365</v>
      </c>
      <c r="B342" s="113">
        <v>-200000</v>
      </c>
      <c r="C342" s="99">
        <v>2</v>
      </c>
      <c r="D342" s="99">
        <f t="shared" si="27"/>
        <v>33</v>
      </c>
      <c r="E342" s="99">
        <f t="shared" si="28"/>
        <v>0</v>
      </c>
      <c r="F342" s="99">
        <f t="shared" si="29"/>
        <v>-6600000</v>
      </c>
      <c r="G342" s="99"/>
    </row>
    <row r="343" spans="1:13">
      <c r="A343" s="99" t="s">
        <v>5306</v>
      </c>
      <c r="B343" s="113">
        <v>-3000000</v>
      </c>
      <c r="C343" s="99">
        <v>0</v>
      </c>
      <c r="D343" s="99">
        <f t="shared" si="27"/>
        <v>31</v>
      </c>
      <c r="E343" s="99">
        <f t="shared" si="28"/>
        <v>0</v>
      </c>
      <c r="F343" s="99">
        <f t="shared" si="29"/>
        <v>-93000000</v>
      </c>
      <c r="G343" s="99"/>
    </row>
    <row r="344" spans="1:13">
      <c r="A344" s="99" t="s">
        <v>5306</v>
      </c>
      <c r="B344" s="113">
        <v>-39726</v>
      </c>
      <c r="C344" s="99">
        <v>1</v>
      </c>
      <c r="D344" s="99">
        <f t="shared" si="27"/>
        <v>31</v>
      </c>
      <c r="E344" s="99">
        <f t="shared" si="28"/>
        <v>0</v>
      </c>
      <c r="F344" s="99">
        <f t="shared" si="29"/>
        <v>-1231506</v>
      </c>
      <c r="G344" s="99"/>
      <c r="M344" t="s">
        <v>25</v>
      </c>
    </row>
    <row r="345" spans="1:13">
      <c r="A345" s="99" t="s">
        <v>5368</v>
      </c>
      <c r="B345" s="113">
        <v>-566500</v>
      </c>
      <c r="C345" s="99">
        <v>1</v>
      </c>
      <c r="D345" s="99">
        <f t="shared" si="27"/>
        <v>30</v>
      </c>
      <c r="E345" s="99">
        <f t="shared" si="28"/>
        <v>0</v>
      </c>
      <c r="F345" s="99">
        <f t="shared" si="29"/>
        <v>-16995000</v>
      </c>
      <c r="G345" s="99"/>
      <c r="K345" t="s">
        <v>25</v>
      </c>
    </row>
    <row r="346" spans="1:13">
      <c r="A346" s="99" t="s">
        <v>5369</v>
      </c>
      <c r="B346" s="113">
        <v>-300000</v>
      </c>
      <c r="C346" s="99">
        <v>22</v>
      </c>
      <c r="D346" s="99">
        <f t="shared" si="27"/>
        <v>29</v>
      </c>
      <c r="E346" s="99">
        <f t="shared" si="28"/>
        <v>1</v>
      </c>
      <c r="F346" s="99">
        <f t="shared" si="29"/>
        <v>-8400000</v>
      </c>
      <c r="G346" s="99"/>
      <c r="J346" t="s">
        <v>25</v>
      </c>
    </row>
    <row r="347" spans="1:13">
      <c r="A347" s="99" t="s">
        <v>5394</v>
      </c>
      <c r="B347" s="113">
        <v>700000</v>
      </c>
      <c r="C347" s="99">
        <v>1</v>
      </c>
      <c r="D347" s="99">
        <f t="shared" si="27"/>
        <v>7</v>
      </c>
      <c r="E347" s="99">
        <f t="shared" si="28"/>
        <v>0</v>
      </c>
      <c r="F347" s="99">
        <f t="shared" si="29"/>
        <v>4900000</v>
      </c>
      <c r="G347" s="99"/>
    </row>
    <row r="348" spans="1:13">
      <c r="A348" s="99" t="s">
        <v>5397</v>
      </c>
      <c r="B348" s="113">
        <v>-101000</v>
      </c>
      <c r="C348" s="99">
        <v>1</v>
      </c>
      <c r="D348" s="99">
        <f t="shared" si="27"/>
        <v>6</v>
      </c>
      <c r="E348" s="99">
        <f t="shared" si="28"/>
        <v>0</v>
      </c>
      <c r="F348" s="99">
        <f t="shared" si="29"/>
        <v>-606000</v>
      </c>
      <c r="G348" s="99"/>
    </row>
    <row r="349" spans="1:13">
      <c r="A349" s="99" t="s">
        <v>5397</v>
      </c>
      <c r="B349" s="113">
        <v>-57245</v>
      </c>
      <c r="C349" s="99">
        <v>1</v>
      </c>
      <c r="D349" s="99">
        <f t="shared" si="27"/>
        <v>5</v>
      </c>
      <c r="E349" s="99">
        <f t="shared" si="28"/>
        <v>0</v>
      </c>
      <c r="F349" s="99">
        <f t="shared" si="29"/>
        <v>-286225</v>
      </c>
      <c r="G349" s="99"/>
    </row>
    <row r="350" spans="1:13">
      <c r="A350" s="99" t="s">
        <v>5400</v>
      </c>
      <c r="B350" s="113">
        <v>-398700</v>
      </c>
      <c r="C350" s="99">
        <v>2</v>
      </c>
      <c r="D350" s="99">
        <f t="shared" si="27"/>
        <v>4</v>
      </c>
      <c r="E350" s="99">
        <f t="shared" si="28"/>
        <v>0</v>
      </c>
      <c r="F350" s="99">
        <f t="shared" si="29"/>
        <v>-1594800</v>
      </c>
      <c r="G350" s="99"/>
    </row>
    <row r="351" spans="1:13">
      <c r="A351" s="99" t="s">
        <v>5399</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opLeftCell="J41"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631</v>
      </c>
      <c r="AM20" s="113">
        <f>AJ20*AL20</f>
        <v>11358000000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972129204.20851612</v>
      </c>
      <c r="M21" s="168" t="s">
        <v>4292</v>
      </c>
      <c r="N21" s="113">
        <f t="shared" ref="N21:N25" si="9">O21*P21</f>
        <v>615210775.5999999</v>
      </c>
      <c r="O21" s="99">
        <v>1638814</v>
      </c>
      <c r="P21" s="185">
        <f>P48</f>
        <v>375.4</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630</v>
      </c>
      <c r="AM21" s="113">
        <f t="shared" ref="AM21:AM120" si="11">AJ21*AL21</f>
        <v>1575000000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578369.5</v>
      </c>
      <c r="O22" s="99">
        <v>95</v>
      </c>
      <c r="P22" s="185">
        <f>P44</f>
        <v>6088.1</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629</v>
      </c>
      <c r="AM22" s="113">
        <f t="shared" si="11"/>
        <v>5032000000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24097029.600000001</v>
      </c>
      <c r="O23" s="99">
        <v>3407</v>
      </c>
      <c r="P23" s="185">
        <f>P47</f>
        <v>7072.8</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628</v>
      </c>
      <c r="AM23" s="113">
        <f t="shared" si="11"/>
        <v>-49958656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866264886.20851612</v>
      </c>
      <c r="G24" s="95">
        <f t="shared" si="0"/>
        <v>-585958540.82657743</v>
      </c>
      <c r="H24" s="11"/>
      <c r="I24" s="96"/>
      <c r="J24" s="96"/>
      <c r="K24" s="213"/>
      <c r="L24" s="117"/>
      <c r="M24" s="213" t="s">
        <v>5212</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627</v>
      </c>
      <c r="AM24" s="113">
        <f t="shared" si="11"/>
        <v>103768500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-27081459</v>
      </c>
      <c r="M25" s="213" t="s">
        <v>4398</v>
      </c>
      <c r="N25" s="113">
        <f t="shared" si="9"/>
        <v>145941205.59999999</v>
      </c>
      <c r="O25" s="99">
        <v>156808</v>
      </c>
      <c r="P25" s="185">
        <f>P45</f>
        <v>930.7</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615</v>
      </c>
      <c r="AM25" s="113">
        <f t="shared" si="11"/>
        <v>-17730651105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609</v>
      </c>
      <c r="AM26" s="113">
        <f t="shared" si="11"/>
        <v>11266500000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608</v>
      </c>
      <c r="AM27" s="113">
        <f t="shared" si="11"/>
        <v>-11278400000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1868845.6</v>
      </c>
      <c r="O28" s="69">
        <v>2008</v>
      </c>
      <c r="P28" s="99">
        <f>P45</f>
        <v>930.7</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607</v>
      </c>
      <c r="AM28" s="113">
        <f t="shared" si="11"/>
        <v>-39431327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377462.2</v>
      </c>
      <c r="O29" s="69">
        <v>62</v>
      </c>
      <c r="P29" s="99">
        <f>P44</f>
        <v>6088.1</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602</v>
      </c>
      <c r="AM29" s="113">
        <f t="shared" si="11"/>
        <v>3852800000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8918800.8000000007</v>
      </c>
      <c r="O30" s="69">
        <v>1261</v>
      </c>
      <c r="P30" s="99">
        <f>P47</f>
        <v>7072.8</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601</v>
      </c>
      <c r="AM30" s="113">
        <f t="shared" si="11"/>
        <v>-102170000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145858291.40000001</v>
      </c>
      <c r="O31" s="69">
        <v>388541</v>
      </c>
      <c r="P31" s="99">
        <f>P48</f>
        <v>375.4</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596</v>
      </c>
      <c r="AM31" s="113">
        <f t="shared" si="11"/>
        <v>-3754800000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595</v>
      </c>
      <c r="AM32" s="113">
        <f t="shared" si="11"/>
        <v>-30948925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579</v>
      </c>
      <c r="AM33" s="113">
        <f t="shared" si="11"/>
        <v>11590074600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-972129204.20851612</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579</v>
      </c>
      <c r="AM34" s="113">
        <f t="shared" si="11"/>
        <v>587375814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567</v>
      </c>
      <c r="AM35" s="113">
        <f t="shared" si="11"/>
        <v>204120000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565</v>
      </c>
      <c r="AM36" s="113">
        <f t="shared" si="11"/>
        <v>-197750000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565</v>
      </c>
      <c r="AM37" s="113">
        <f t="shared" si="11"/>
        <v>565000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564</v>
      </c>
      <c r="AM38" s="113">
        <f t="shared" si="11"/>
        <v>18956040000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560</v>
      </c>
      <c r="AM39" s="113">
        <f t="shared" si="11"/>
        <v>-8736000000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557</v>
      </c>
      <c r="AM40" s="113">
        <f t="shared" si="11"/>
        <v>4177500000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553</v>
      </c>
      <c r="AM41" s="113">
        <f t="shared" si="11"/>
        <v>-54194000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552</v>
      </c>
      <c r="AM42" s="113">
        <f t="shared" si="11"/>
        <v>-14352000000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-19795000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552</v>
      </c>
      <c r="AM43" s="113">
        <f t="shared" si="11"/>
        <v>13800000000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5428</v>
      </c>
      <c r="L44" s="117">
        <f>-5000*P48</f>
        <v>-1877000</v>
      </c>
      <c r="M44" s="21" t="s">
        <v>4380</v>
      </c>
      <c r="N44" s="117">
        <f t="shared" ref="N44:N51" si="16">O44*P44</f>
        <v>413990.80000000005</v>
      </c>
      <c r="O44" s="69">
        <v>68</v>
      </c>
      <c r="P44" s="69">
        <v>6088.1</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551</v>
      </c>
      <c r="AM44" s="113">
        <f t="shared" si="11"/>
        <v>60610000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-15840000</v>
      </c>
      <c r="M45" s="19" t="s">
        <v>4398</v>
      </c>
      <c r="N45" s="117">
        <f t="shared" si="16"/>
        <v>86308464.5</v>
      </c>
      <c r="O45" s="69">
        <v>92735</v>
      </c>
      <c r="P45" s="69">
        <v>930.7</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550</v>
      </c>
      <c r="AM45" s="113">
        <f t="shared" si="11"/>
        <v>209000000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4923</v>
      </c>
      <c r="N46" s="117">
        <f t="shared" si="16"/>
        <v>459920</v>
      </c>
      <c r="O46" s="69">
        <v>200</v>
      </c>
      <c r="P46" s="69">
        <v>2299.6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543</v>
      </c>
      <c r="AM46" s="113">
        <f t="shared" si="11"/>
        <v>244350000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24217267.199999999</v>
      </c>
      <c r="O47" s="69">
        <v>3424</v>
      </c>
      <c r="P47" s="69">
        <v>7072.8</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537</v>
      </c>
      <c r="AM47" s="113">
        <f t="shared" si="11"/>
        <v>1503600000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5425</v>
      </c>
      <c r="L48" s="117">
        <f>73500*P48</f>
        <v>27591900</v>
      </c>
      <c r="M48" s="19" t="s">
        <v>4174</v>
      </c>
      <c r="N48" s="113">
        <f t="shared" si="16"/>
        <v>1119974366.3999999</v>
      </c>
      <c r="O48" s="99">
        <v>2983416</v>
      </c>
      <c r="P48" s="99">
        <v>375.4</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536</v>
      </c>
      <c r="AM48" s="113">
        <f t="shared" si="11"/>
        <v>-804000000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3550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536</v>
      </c>
      <c r="AM49" s="113">
        <f t="shared" si="11"/>
        <v>1634800000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5412</v>
      </c>
      <c r="L50" s="117">
        <v>-377400</v>
      </c>
      <c r="M50" s="21" t="s">
        <v>1083</v>
      </c>
      <c r="N50" s="117">
        <f t="shared" si="16"/>
        <v>0</v>
      </c>
      <c r="O50" s="69">
        <v>0</v>
      </c>
      <c r="P50" s="69">
        <v>462300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533</v>
      </c>
      <c r="AM50" s="113">
        <f t="shared" si="11"/>
        <v>-4423693196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13200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531</v>
      </c>
      <c r="AM51" s="113">
        <f t="shared" si="11"/>
        <v>2655000000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517</v>
      </c>
      <c r="AM52" s="113">
        <f t="shared" si="11"/>
        <v>-46530000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516</v>
      </c>
      <c r="AM53" s="113">
        <f t="shared" si="11"/>
        <v>2889600000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512</v>
      </c>
      <c r="AM54" s="113">
        <f t="shared" si="11"/>
        <v>384000000</v>
      </c>
      <c r="AN54" s="99"/>
    </row>
    <row r="55" spans="1:45">
      <c r="A55" s="63">
        <v>1400</v>
      </c>
      <c r="B55" s="11">
        <v>53</v>
      </c>
      <c r="C55" s="49">
        <f t="shared" si="4"/>
        <v>5434352.6275970079</v>
      </c>
      <c r="D55" s="3">
        <f t="shared" si="5"/>
        <v>4414480.970089077</v>
      </c>
      <c r="E55" s="3">
        <f t="shared" si="12"/>
        <v>554684624.00670612</v>
      </c>
      <c r="F55" s="3"/>
      <c r="G55" s="11"/>
      <c r="H55" s="11"/>
      <c r="K55" s="168" t="s">
        <v>5420</v>
      </c>
      <c r="L55" s="117">
        <v>-2000140</v>
      </c>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510</v>
      </c>
      <c r="AM55" s="170">
        <f t="shared" si="11"/>
        <v>-2163420000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508</v>
      </c>
      <c r="AM56" s="113">
        <f t="shared" si="11"/>
        <v>2082800000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508</v>
      </c>
      <c r="AM57" s="113">
        <f t="shared" si="11"/>
        <v>2082800000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-29788348.489818029</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507</v>
      </c>
      <c r="AM58" s="113">
        <f t="shared" si="11"/>
        <v>400530000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492</v>
      </c>
      <c r="AM59" s="172">
        <f t="shared" si="11"/>
        <v>-1901580000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486</v>
      </c>
      <c r="AM60" s="113">
        <f t="shared" si="11"/>
        <v>9136800000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866264886.20851612</v>
      </c>
      <c r="M61" s="168"/>
      <c r="N61" s="113">
        <f>SUM(N16:N60)</f>
        <v>1112212666.5016656</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483</v>
      </c>
      <c r="AM61" s="113">
        <f t="shared" si="11"/>
        <v>241500000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429141</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482</v>
      </c>
      <c r="AM62" s="113">
        <f t="shared" si="11"/>
        <v>96400000</v>
      </c>
      <c r="AN62" s="20"/>
    </row>
    <row r="63" spans="1:45">
      <c r="E63" s="26"/>
      <c r="K63" s="56" t="s">
        <v>715</v>
      </c>
      <c r="L63" s="1">
        <f>L61+N7</f>
        <v>966264886.20851612</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479</v>
      </c>
      <c r="AM63" s="113">
        <f t="shared" si="11"/>
        <v>479000000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476</v>
      </c>
      <c r="AM64" s="113">
        <f t="shared" si="11"/>
        <v>618800000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476</v>
      </c>
      <c r="AM65" s="113">
        <f t="shared" si="11"/>
        <v>473620000</v>
      </c>
      <c r="AN65" s="20"/>
    </row>
    <row r="66" spans="1:40">
      <c r="M66" s="25" t="s">
        <v>4077</v>
      </c>
      <c r="N66" s="284" t="s">
        <v>5419</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474</v>
      </c>
      <c r="AM66" s="113">
        <f t="shared" si="11"/>
        <v>6162000000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472</v>
      </c>
      <c r="AM67" s="113">
        <f t="shared" si="11"/>
        <v>-1463200000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469</v>
      </c>
      <c r="AM68" s="113">
        <f t="shared" si="11"/>
        <v>21405160000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468</v>
      </c>
      <c r="AM69" s="113">
        <f t="shared" si="11"/>
        <v>15678000000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467</v>
      </c>
      <c r="AM70" s="117">
        <f t="shared" si="11"/>
        <v>5604000000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466</v>
      </c>
      <c r="AM71" s="117">
        <f t="shared" si="11"/>
        <v>7223000000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462</v>
      </c>
      <c r="AM72" s="117">
        <f t="shared" si="11"/>
        <v>69300000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461</v>
      </c>
      <c r="AM73" s="180">
        <f t="shared" si="11"/>
        <v>13369000000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446</v>
      </c>
      <c r="AM74" s="117">
        <f t="shared" si="11"/>
        <v>-57980000</v>
      </c>
      <c r="AN74" s="20" t="s">
        <v>4203</v>
      </c>
    </row>
    <row r="75" spans="1:40">
      <c r="G75" s="48" t="s">
        <v>787</v>
      </c>
      <c r="H75" s="201" t="s">
        <v>476</v>
      </c>
      <c r="K75" t="s">
        <v>4790</v>
      </c>
      <c r="M75" s="96">
        <f>O48+O21+O31-O55</f>
        <v>5010771</v>
      </c>
      <c r="N75" s="113">
        <f>M75*P48</f>
        <v>1881043433.3999999</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439</v>
      </c>
      <c r="AM75" s="117">
        <f>AJ75*AL75</f>
        <v>101848000</v>
      </c>
      <c r="AN75" s="20" t="s">
        <v>4251</v>
      </c>
    </row>
    <row r="76" spans="1:40">
      <c r="D76" s="3"/>
      <c r="E76" s="11" t="s">
        <v>304</v>
      </c>
      <c r="G76" s="47">
        <v>700000</v>
      </c>
      <c r="H76" s="201" t="s">
        <v>1037</v>
      </c>
      <c r="K76" t="s">
        <v>4791</v>
      </c>
      <c r="M76" t="s">
        <v>4258</v>
      </c>
      <c r="P76" s="115"/>
      <c r="Q76" s="169">
        <v>18000954</v>
      </c>
      <c r="R76" s="213" t="s">
        <v>5422</v>
      </c>
      <c r="S76" s="197">
        <f>S75-54</f>
        <v>0</v>
      </c>
      <c r="T76" s="213" t="s">
        <v>5426</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437</v>
      </c>
      <c r="AM76" s="117">
        <f t="shared" si="11"/>
        <v>-74290000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434</v>
      </c>
      <c r="AM77" s="117">
        <f t="shared" si="11"/>
        <v>-130200000</v>
      </c>
      <c r="AN77" s="20"/>
    </row>
    <row r="78" spans="1:40" ht="26.25">
      <c r="D78" s="1" t="s">
        <v>321</v>
      </c>
      <c r="E78" s="1">
        <v>100000</v>
      </c>
      <c r="G78" s="47">
        <v>180000</v>
      </c>
      <c r="H78" s="201" t="s">
        <v>558</v>
      </c>
      <c r="K78" t="s">
        <v>4524</v>
      </c>
      <c r="M78" s="256"/>
      <c r="P78" s="115"/>
      <c r="Q78" s="169">
        <f>SUM(N21:N25)-SUM(Q20:Q77)</f>
        <v>340937195.29999995</v>
      </c>
      <c r="R78" s="168"/>
      <c r="S78" s="168" t="s">
        <v>25</v>
      </c>
      <c r="T78" s="168"/>
      <c r="U78" s="168"/>
      <c r="V78" s="168"/>
      <c r="W78" s="32"/>
      <c r="X78" s="32"/>
      <c r="Z78" t="s">
        <v>25</v>
      </c>
      <c r="AD78" s="115"/>
      <c r="AE78" s="115"/>
      <c r="AH78" s="20">
        <v>58</v>
      </c>
      <c r="AI78" s="117" t="s">
        <v>4283</v>
      </c>
      <c r="AJ78" s="117">
        <v>-11400000</v>
      </c>
      <c r="AK78" s="20">
        <v>13</v>
      </c>
      <c r="AL78" s="99">
        <f t="shared" ref="AL78:AL83" si="23">AL79+AK78</f>
        <v>431</v>
      </c>
      <c r="AM78" s="117">
        <f t="shared" si="11"/>
        <v>-4913400000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418</v>
      </c>
      <c r="AM79" s="117">
        <f>AJ79*AL79</f>
        <v>-4180000000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417</v>
      </c>
      <c r="AM80" s="117">
        <f>AJ80*AL80</f>
        <v>-1021650000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412</v>
      </c>
      <c r="AM81" s="117">
        <f t="shared" si="11"/>
        <v>-187905372</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411</v>
      </c>
      <c r="AM82" s="117">
        <f t="shared" si="11"/>
        <v>-205500000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409</v>
      </c>
      <c r="AM83" s="117">
        <f t="shared" si="11"/>
        <v>-2549857330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406</v>
      </c>
      <c r="AM84" s="117">
        <f t="shared" si="11"/>
        <v>792088542</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402</v>
      </c>
      <c r="AM85" s="117">
        <f t="shared" si="11"/>
        <v>241200000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397</v>
      </c>
      <c r="AM86" s="117">
        <f t="shared" si="11"/>
        <v>2977500000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395</v>
      </c>
      <c r="AM87" s="117">
        <f t="shared" si="11"/>
        <v>-232187320</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392</v>
      </c>
      <c r="AM88" s="117">
        <f t="shared" si="11"/>
        <v>-355735688</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392</v>
      </c>
      <c r="AM89" s="117">
        <f t="shared" si="11"/>
        <v>960400000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391</v>
      </c>
      <c r="AM90" s="117">
        <f t="shared" si="11"/>
        <v>586500000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390</v>
      </c>
      <c r="AM91" s="117">
        <f t="shared" si="11"/>
        <v>1032720000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389</v>
      </c>
      <c r="AM92" s="117">
        <f t="shared" si="11"/>
        <v>239235000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385</v>
      </c>
      <c r="AM93" s="117">
        <f t="shared" si="11"/>
        <v>5390000000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383</v>
      </c>
      <c r="AM94" s="117">
        <f t="shared" si="11"/>
        <v>502879000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383</v>
      </c>
      <c r="AM95" s="117">
        <f t="shared" si="11"/>
        <v>869027000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382</v>
      </c>
      <c r="AM96" s="117">
        <f t="shared" si="11"/>
        <v>286500000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378</v>
      </c>
      <c r="AM97" s="117">
        <f t="shared" si="11"/>
        <v>718200000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375</v>
      </c>
      <c r="AM98" s="117">
        <f t="shared" si="11"/>
        <v>2400000000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374</v>
      </c>
      <c r="AM99" s="117">
        <f t="shared" si="11"/>
        <v>1870000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369</v>
      </c>
      <c r="AM100" s="117">
        <f t="shared" si="11"/>
        <v>-645804612</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368</v>
      </c>
      <c r="AM101" s="117">
        <f t="shared" si="11"/>
        <v>147200000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368</v>
      </c>
      <c r="AM102" s="117">
        <f t="shared" si="11"/>
        <v>-774794928</v>
      </c>
      <c r="AN102" s="99"/>
      <c r="AO102" t="s">
        <v>25</v>
      </c>
    </row>
    <row r="103" spans="4:47">
      <c r="F103" s="199">
        <f>$L$111/G103</f>
        <v>12314.864144912095</v>
      </c>
      <c r="G103" s="199">
        <f>P48</f>
        <v>375.4</v>
      </c>
      <c r="H103" s="199" t="s">
        <v>4773</v>
      </c>
      <c r="I103" s="199" t="s">
        <v>4772</v>
      </c>
      <c r="J103" s="214" t="s">
        <v>4234</v>
      </c>
      <c r="K103" s="199">
        <v>175</v>
      </c>
      <c r="L103" s="215">
        <f t="shared" ref="L103:L108" si="28">K103*$L$111</f>
        <v>809025000</v>
      </c>
      <c r="M103" s="215">
        <f>N21+N31+N48</f>
        <v>1881043433.3999996</v>
      </c>
      <c r="N103" s="183">
        <f t="shared" ref="N103:N107" si="29">L103-M103</f>
        <v>-1072018433.3999996</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367</v>
      </c>
      <c r="AM103" s="117">
        <f t="shared" si="11"/>
        <v>-2028635806</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367</v>
      </c>
      <c r="AM104" s="117">
        <f t="shared" si="11"/>
        <v>1431300000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364</v>
      </c>
      <c r="AM105" s="117">
        <f t="shared" si="11"/>
        <v>-1444990456</v>
      </c>
      <c r="AN105" s="99"/>
    </row>
    <row r="106" spans="4:47">
      <c r="F106" s="213">
        <f>$L$111/G106</f>
        <v>4967.2289674438589</v>
      </c>
      <c r="G106" s="213">
        <f>P45</f>
        <v>930.7</v>
      </c>
      <c r="H106" s="213" t="s">
        <v>4665</v>
      </c>
      <c r="I106" s="213" t="s">
        <v>4664</v>
      </c>
      <c r="J106" s="32" t="s">
        <v>4398</v>
      </c>
      <c r="K106" s="213">
        <v>43</v>
      </c>
      <c r="L106" s="1">
        <f t="shared" si="28"/>
        <v>198789000</v>
      </c>
      <c r="M106" s="1">
        <f>N45+N25</f>
        <v>232249670.09999999</v>
      </c>
      <c r="N106" s="113">
        <f t="shared" si="29"/>
        <v>-33460670.099999994</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363</v>
      </c>
      <c r="AM106" s="117">
        <f t="shared" si="11"/>
        <v>-9283527165</v>
      </c>
      <c r="AN106" s="99"/>
      <c r="AP106" t="s">
        <v>25</v>
      </c>
    </row>
    <row r="107" spans="4:47">
      <c r="F107" s="199"/>
      <c r="G107" s="199"/>
      <c r="H107" s="199"/>
      <c r="I107" s="199"/>
      <c r="J107" s="214" t="s">
        <v>4641</v>
      </c>
      <c r="K107" s="199">
        <v>1</v>
      </c>
      <c r="L107" s="215">
        <f t="shared" si="28"/>
        <v>4623000</v>
      </c>
      <c r="M107" s="215">
        <f>0</f>
        <v>0</v>
      </c>
      <c r="N107" s="183">
        <f t="shared" si="29"/>
        <v>4623000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363</v>
      </c>
      <c r="AM107" s="117">
        <f t="shared" si="11"/>
        <v>1452000000</v>
      </c>
      <c r="AN107" s="99"/>
    </row>
    <row r="108" spans="4:47">
      <c r="F108" s="191"/>
      <c r="G108" s="191"/>
      <c r="H108" s="191"/>
      <c r="I108" s="191"/>
      <c r="J108" s="257" t="s">
        <v>5366</v>
      </c>
      <c r="K108" s="191">
        <v>232</v>
      </c>
      <c r="L108" s="258">
        <f t="shared" si="28"/>
        <v>1072536000</v>
      </c>
      <c r="M108" s="258">
        <v>0</v>
      </c>
      <c r="N108" s="86">
        <f>L108-M108</f>
        <v>1072536000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362</v>
      </c>
      <c r="AM108" s="117">
        <f t="shared" si="11"/>
        <v>-1810000000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360</v>
      </c>
      <c r="AM109" s="117">
        <f t="shared" si="11"/>
        <v>3600000000</v>
      </c>
      <c r="AN109" s="99"/>
    </row>
    <row r="110" spans="4:47">
      <c r="F110" s="199"/>
      <c r="G110" s="199"/>
      <c r="H110" s="199"/>
      <c r="I110" s="199"/>
      <c r="J110" s="214" t="s">
        <v>5124</v>
      </c>
      <c r="K110" s="199">
        <f>SUM(K103:K108)</f>
        <v>451</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356</v>
      </c>
      <c r="AM110" s="117">
        <f t="shared" si="11"/>
        <v>-1866129572</v>
      </c>
      <c r="AN110" s="99"/>
    </row>
    <row r="111" spans="4:47">
      <c r="F111" s="213"/>
      <c r="G111" s="213"/>
      <c r="H111" s="213" t="s">
        <v>25</v>
      </c>
      <c r="I111" s="213"/>
      <c r="J111" s="32"/>
      <c r="K111" s="213">
        <v>0</v>
      </c>
      <c r="L111" s="39">
        <f>10*P50</f>
        <v>4623000</v>
      </c>
      <c r="M111" s="1">
        <f>K111*L111</f>
        <v>0</v>
      </c>
      <c r="N111" s="113">
        <f>SUM(N103:N109)-M111</f>
        <v>1679896.5000004768</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356</v>
      </c>
      <c r="AM111" s="117">
        <f t="shared" si="11"/>
        <v>7796400000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354</v>
      </c>
      <c r="AM112" s="117">
        <f t="shared" si="11"/>
        <v>-5310000000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354</v>
      </c>
      <c r="AM113" s="117">
        <f t="shared" si="11"/>
        <v>1062000000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353</v>
      </c>
      <c r="AM114" s="117">
        <f t="shared" si="11"/>
        <v>-742618808</v>
      </c>
      <c r="AN114" s="99"/>
    </row>
    <row r="115" spans="6:46">
      <c r="P115" s="114"/>
      <c r="Q115" s="113">
        <f>SUM(N28:N31)-SUM(Q83:Q114)</f>
        <v>65205580</v>
      </c>
      <c r="R115" s="168"/>
      <c r="S115" s="168"/>
      <c r="T115" s="168"/>
      <c r="U115" s="168"/>
      <c r="V115" s="168"/>
      <c r="W115" s="32"/>
      <c r="X115" s="32"/>
      <c r="AH115" s="99">
        <v>95</v>
      </c>
      <c r="AI115" s="113" t="s">
        <v>4577</v>
      </c>
      <c r="AJ115" s="113">
        <v>220000</v>
      </c>
      <c r="AK115" s="99">
        <v>3</v>
      </c>
      <c r="AL115" s="99">
        <f t="shared" si="27"/>
        <v>353</v>
      </c>
      <c r="AM115" s="117">
        <f t="shared" si="11"/>
        <v>77660000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350</v>
      </c>
      <c r="AM116" s="117">
        <f t="shared" si="11"/>
        <v>1400000000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349</v>
      </c>
      <c r="AM117" s="117">
        <f t="shared" si="11"/>
        <v>-3141000000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349</v>
      </c>
      <c r="AM118" s="117">
        <f t="shared" si="11"/>
        <v>4851100000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347</v>
      </c>
      <c r="AM119" s="117">
        <f t="shared" si="11"/>
        <v>-2820269219</v>
      </c>
      <c r="AN119" s="99"/>
      <c r="AO119" t="s">
        <v>25</v>
      </c>
      <c r="AQ119" t="s">
        <v>25</v>
      </c>
    </row>
    <row r="120" spans="6:46">
      <c r="F120" s="96"/>
      <c r="G120" s="1">
        <f>P48</f>
        <v>375.4</v>
      </c>
      <c r="H120" s="213" t="s">
        <v>4234</v>
      </c>
      <c r="I120" s="213">
        <v>129827</v>
      </c>
      <c r="J120" s="1">
        <f>I120*G120</f>
        <v>48737055.799999997</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346</v>
      </c>
      <c r="AM120" s="117">
        <f t="shared" si="11"/>
        <v>5464221954</v>
      </c>
      <c r="AN120" s="99"/>
      <c r="AO120" t="s">
        <v>25</v>
      </c>
      <c r="AP120" t="s">
        <v>25</v>
      </c>
    </row>
    <row r="121" spans="6:46" ht="30">
      <c r="F121" s="96"/>
      <c r="G121" s="1">
        <f>P45</f>
        <v>930.7</v>
      </c>
      <c r="H121" s="213" t="s">
        <v>4398</v>
      </c>
      <c r="I121" s="213">
        <v>1205</v>
      </c>
      <c r="J121" s="1">
        <f t="shared" ref="J121:J122" si="33">I121*G121</f>
        <v>1121493.5</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343</v>
      </c>
      <c r="AM121" s="117">
        <f t="shared" ref="AM121:AM144" si="35">AJ121*AL121</f>
        <v>3018400000</v>
      </c>
      <c r="AN121" s="99"/>
      <c r="AP121" t="s">
        <v>25</v>
      </c>
    </row>
    <row r="122" spans="6:46" ht="45">
      <c r="F122" s="96"/>
      <c r="G122" s="1">
        <f>P47</f>
        <v>7072.8</v>
      </c>
      <c r="H122" s="213" t="s">
        <v>4384</v>
      </c>
      <c r="I122" s="213">
        <v>1399</v>
      </c>
      <c r="J122" s="1">
        <f t="shared" si="33"/>
        <v>9894847.2000000011</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343</v>
      </c>
      <c r="AM122" s="79">
        <f t="shared" si="35"/>
        <v>4483562916</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342</v>
      </c>
      <c r="AM123" s="90">
        <f t="shared" si="35"/>
        <v>5720646654</v>
      </c>
      <c r="AN123" s="89" t="s">
        <v>4616</v>
      </c>
    </row>
    <row r="124" spans="6:46">
      <c r="F124" s="96"/>
      <c r="G124" s="213"/>
      <c r="H124" s="213"/>
      <c r="I124" s="113">
        <f>J124-J118</f>
        <v>39830981.5</v>
      </c>
      <c r="J124" s="1">
        <f>SUM(J120:J123)</f>
        <v>59753396.5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342</v>
      </c>
      <c r="AM124" s="117">
        <f t="shared" si="35"/>
        <v>4104000000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341</v>
      </c>
      <c r="AM125" s="90">
        <f t="shared" si="35"/>
        <v>30245904447</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340</v>
      </c>
      <c r="AM126" s="117">
        <f t="shared" si="35"/>
        <v>34340000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340</v>
      </c>
      <c r="AM127" s="188">
        <f t="shared" si="35"/>
        <v>-16388000</v>
      </c>
      <c r="AN127" s="149" t="s">
        <v>4624</v>
      </c>
    </row>
    <row r="128" spans="6:46">
      <c r="G128" s="1">
        <f>P48</f>
        <v>375.4</v>
      </c>
      <c r="H128" s="213" t="s">
        <v>4234</v>
      </c>
      <c r="I128" s="213">
        <v>50896</v>
      </c>
      <c r="J128" s="1">
        <f>G128*I128</f>
        <v>19106358.399999999</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340</v>
      </c>
      <c r="AM128" s="188">
        <f t="shared" si="35"/>
        <v>13371279620</v>
      </c>
      <c r="AN128" s="89" t="s">
        <v>4625</v>
      </c>
    </row>
    <row r="129" spans="7:43">
      <c r="G129" s="1">
        <f>P45</f>
        <v>930.7</v>
      </c>
      <c r="H129" s="213" t="s">
        <v>4398</v>
      </c>
      <c r="I129" s="213">
        <v>2304</v>
      </c>
      <c r="J129" s="1">
        <f t="shared" ref="J129:J130" si="40">G129*I129</f>
        <v>2144332.8000000003</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336</v>
      </c>
      <c r="AM129" s="90">
        <f t="shared" si="35"/>
        <v>2939680800</v>
      </c>
      <c r="AN129" s="89" t="s">
        <v>4640</v>
      </c>
    </row>
    <row r="130" spans="7:43">
      <c r="G130" s="1">
        <f>P44</f>
        <v>6088.1</v>
      </c>
      <c r="H130" s="213" t="s">
        <v>4380</v>
      </c>
      <c r="I130" s="213">
        <v>715</v>
      </c>
      <c r="J130" s="1">
        <f t="shared" si="40"/>
        <v>4352991.5</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335</v>
      </c>
      <c r="AM130" s="117">
        <f t="shared" si="35"/>
        <v>20100000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334</v>
      </c>
      <c r="AM131" s="117">
        <f t="shared" si="35"/>
        <v>1586500000</v>
      </c>
      <c r="AN131" s="20"/>
      <c r="AQ131" t="s">
        <v>25</v>
      </c>
    </row>
    <row r="132" spans="7:43">
      <c r="G132" s="213"/>
      <c r="H132" s="213"/>
      <c r="I132" s="113">
        <f>J132-J127</f>
        <v>9284539.6999999993</v>
      </c>
      <c r="J132" s="1">
        <f>SUM(J128:J131)</f>
        <v>25603682.699999999</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334</v>
      </c>
      <c r="AM132" s="90">
        <f t="shared" si="35"/>
        <v>4375787440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333</v>
      </c>
      <c r="AM133" s="117">
        <f t="shared" si="35"/>
        <v>-326340000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333</v>
      </c>
      <c r="AM134" s="90">
        <f t="shared" si="35"/>
        <v>4429496070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333</v>
      </c>
      <c r="AM135" s="117">
        <f t="shared" si="35"/>
        <v>134532000</v>
      </c>
      <c r="AN135" s="20" t="s">
        <v>4661</v>
      </c>
    </row>
    <row r="136" spans="7:43">
      <c r="G136" s="1">
        <f>P48</f>
        <v>375.4</v>
      </c>
      <c r="H136" s="213" t="s">
        <v>4234</v>
      </c>
      <c r="I136" s="213">
        <v>46582</v>
      </c>
      <c r="J136" s="1">
        <f>G136*I136</f>
        <v>17486882.800000001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328</v>
      </c>
      <c r="AM136" s="90">
        <f t="shared" si="35"/>
        <v>1407653984</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326</v>
      </c>
      <c r="AM137" s="117">
        <f t="shared" si="35"/>
        <v>326000</v>
      </c>
      <c r="AN137" s="20"/>
    </row>
    <row r="138" spans="7:43">
      <c r="G138" s="213"/>
      <c r="H138" s="213"/>
      <c r="I138" s="1">
        <f>J138-J135</f>
        <v>7691882.8000000007</v>
      </c>
      <c r="J138" s="1">
        <f>SUM(J136:J137)</f>
        <v>27486882.800000001</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321</v>
      </c>
      <c r="AM138" s="79">
        <f t="shared" si="35"/>
        <v>2805366339</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319</v>
      </c>
      <c r="AM139" s="79">
        <f t="shared" si="35"/>
        <v>5612893682</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318</v>
      </c>
      <c r="AM140" s="79">
        <f t="shared" si="35"/>
        <v>4240628262</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305</v>
      </c>
      <c r="AM141" s="228">
        <f t="shared" si="35"/>
        <v>15250000000</v>
      </c>
      <c r="AN141" s="161" t="s">
        <v>4746</v>
      </c>
      <c r="AP141" t="s">
        <v>25</v>
      </c>
    </row>
    <row r="142" spans="7:43">
      <c r="G142" s="99">
        <f>P48</f>
        <v>375.4</v>
      </c>
      <c r="H142" s="99" t="s">
        <v>4234</v>
      </c>
      <c r="I142" s="99">
        <v>39042</v>
      </c>
      <c r="J142" s="1">
        <f>G142*I142</f>
        <v>14656366.799999999</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294</v>
      </c>
      <c r="AM142" s="117">
        <f t="shared" si="35"/>
        <v>8820000</v>
      </c>
      <c r="AN142" s="20"/>
    </row>
    <row r="143" spans="7:43">
      <c r="G143" s="99">
        <f>P47</f>
        <v>7072.8</v>
      </c>
      <c r="H143" s="99" t="s">
        <v>4384</v>
      </c>
      <c r="I143" s="99">
        <v>1150</v>
      </c>
      <c r="J143" s="1">
        <f>G143*I143</f>
        <v>8133720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291</v>
      </c>
      <c r="AM143" s="117">
        <f t="shared" si="35"/>
        <v>174600000</v>
      </c>
      <c r="AN143" s="20"/>
    </row>
    <row r="144" spans="7:43">
      <c r="G144" s="99"/>
      <c r="H144" s="99"/>
      <c r="I144" s="278">
        <f>J142+J143-J141</f>
        <v>2790086.799999997</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290</v>
      </c>
      <c r="AM144" s="117">
        <f t="shared" si="35"/>
        <v>8700000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287</v>
      </c>
      <c r="AM145" s="117">
        <f t="shared" ref="AM145:AM147" si="43">AJ145*AL145</f>
        <v>645750000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286</v>
      </c>
      <c r="AM146" s="35">
        <f t="shared" si="43"/>
        <v>-8983889200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285</v>
      </c>
      <c r="AM147" s="117">
        <f t="shared" si="43"/>
        <v>19950000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276</v>
      </c>
      <c r="AM148" s="117">
        <f t="shared" ref="AM148:AM149" si="44">AJ148*AL148</f>
        <v>5520000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266</v>
      </c>
      <c r="AM149" s="117">
        <f t="shared" si="44"/>
        <v>266000000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265</v>
      </c>
      <c r="AM150" s="117">
        <f t="shared" ref="AM150:AM177" si="45">AJ150*AL150</f>
        <v>17392010155</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265</v>
      </c>
      <c r="AM151" s="117">
        <f t="shared" si="45"/>
        <v>-927500000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259</v>
      </c>
      <c r="AM152" s="117">
        <f t="shared" si="45"/>
        <v>652680000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247</v>
      </c>
      <c r="AM153" s="117">
        <f t="shared" si="45"/>
        <v>345800000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243</v>
      </c>
      <c r="AM154" s="117">
        <f t="shared" si="45"/>
        <v>376650000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241</v>
      </c>
      <c r="AM155" s="117">
        <f t="shared" si="45"/>
        <v>60250000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235</v>
      </c>
      <c r="AM156" s="117">
        <f t="shared" si="45"/>
        <v>-11403957800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221</v>
      </c>
      <c r="AM157" s="117">
        <f t="shared" si="45"/>
        <v>464100000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220</v>
      </c>
      <c r="AM158" s="117">
        <f t="shared" si="45"/>
        <v>22000000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216</v>
      </c>
      <c r="AM159" s="117">
        <f t="shared" ref="AM159:AM168" si="48">AJ159*AL159</f>
        <v>194400000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216</v>
      </c>
      <c r="AM160" s="117">
        <f t="shared" si="48"/>
        <v>237600000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216</v>
      </c>
      <c r="AM161" s="117">
        <f t="shared" si="48"/>
        <v>24840000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216</v>
      </c>
      <c r="AM162" s="117">
        <f t="shared" si="48"/>
        <v>-237600000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216</v>
      </c>
      <c r="AM163" s="117">
        <f t="shared" si="48"/>
        <v>194400000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215</v>
      </c>
      <c r="AM164" s="117">
        <f t="shared" si="48"/>
        <v>430000000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215</v>
      </c>
      <c r="AM165" s="117">
        <f t="shared" si="48"/>
        <v>77400000</v>
      </c>
      <c r="AN165" s="20"/>
    </row>
    <row r="166" spans="15:43">
      <c r="O166" s="96"/>
      <c r="Q166" s="169">
        <v>44179314</v>
      </c>
      <c r="R166" s="213" t="s">
        <v>5114</v>
      </c>
      <c r="S166" s="213">
        <f>S165-1</f>
        <v>157</v>
      </c>
      <c r="T166" s="213" t="s">
        <v>5429</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214</v>
      </c>
      <c r="AM166" s="117">
        <f t="shared" si="48"/>
        <v>642000000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213</v>
      </c>
      <c r="AM167" s="117">
        <f t="shared" si="48"/>
        <v>-140202138</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212</v>
      </c>
      <c r="AM168" s="117">
        <f t="shared" si="48"/>
        <v>212000000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197</v>
      </c>
      <c r="AM169" s="117">
        <f t="shared" si="45"/>
        <v>222659250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192</v>
      </c>
      <c r="AM170" s="117">
        <f t="shared" si="45"/>
        <v>39552000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190</v>
      </c>
      <c r="AM171" s="117">
        <f t="shared" si="45"/>
        <v>9500000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188</v>
      </c>
      <c r="AM172" s="117">
        <f t="shared" si="45"/>
        <v>19740000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184</v>
      </c>
      <c r="AM173" s="117">
        <f t="shared" si="45"/>
        <v>920000000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183</v>
      </c>
      <c r="AM174" s="117">
        <f t="shared" si="45"/>
        <v>457500000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181</v>
      </c>
      <c r="AM175" s="265">
        <f t="shared" si="45"/>
        <v>-9050000000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174</v>
      </c>
      <c r="AM176" s="117">
        <f t="shared" si="45"/>
        <v>1740000000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162</v>
      </c>
      <c r="AM177" s="117">
        <f t="shared" si="45"/>
        <v>-2635092000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161</v>
      </c>
      <c r="AM178" s="117">
        <f t="shared" ref="AM178:AM181" si="52">AJ178*AL178</f>
        <v>161000000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155</v>
      </c>
      <c r="AM179" s="117">
        <f t="shared" si="52"/>
        <v>6200000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150</v>
      </c>
      <c r="AM180" s="117">
        <f t="shared" si="52"/>
        <v>18000000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144</v>
      </c>
      <c r="AM181" s="117">
        <f t="shared" si="52"/>
        <v>35856000</v>
      </c>
      <c r="AN181" s="20"/>
    </row>
    <row r="182" spans="17:44">
      <c r="Q182" s="169">
        <v>1080348</v>
      </c>
      <c r="R182" s="213" t="s">
        <v>5422</v>
      </c>
      <c r="S182" s="213">
        <f>S181-32</f>
        <v>0</v>
      </c>
      <c r="T182" s="213" t="s">
        <v>5427</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135</v>
      </c>
      <c r="AM182" s="117">
        <f t="shared" ref="AM182" si="56">AJ182*AL182</f>
        <v>8775000</v>
      </c>
      <c r="AN182" s="20"/>
    </row>
    <row r="183" spans="17:44">
      <c r="Q183" s="169">
        <v>413133</v>
      </c>
      <c r="R183" s="213" t="s">
        <v>5424</v>
      </c>
      <c r="S183" s="213">
        <f>S182-1</f>
        <v>-1</v>
      </c>
      <c r="T183" s="213" t="s">
        <v>5430</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128</v>
      </c>
      <c r="AM183" s="117">
        <f t="shared" ref="AM183:AM190" si="58">AJ183*AL183</f>
        <v>-40012544</v>
      </c>
      <c r="AN183" s="20"/>
      <c r="AO183" t="s">
        <v>25</v>
      </c>
      <c r="AQ183" t="s">
        <v>25</v>
      </c>
    </row>
    <row r="184" spans="17:44">
      <c r="Q184" s="169">
        <v>513389</v>
      </c>
      <c r="R184" s="213" t="s">
        <v>5424</v>
      </c>
      <c r="S184" s="213">
        <f>S183</f>
        <v>-1</v>
      </c>
      <c r="T184" s="213" t="s">
        <v>5431</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128</v>
      </c>
      <c r="AM184" s="117">
        <f t="shared" si="58"/>
        <v>6400000</v>
      </c>
      <c r="AN184" s="20"/>
      <c r="AR184" t="s">
        <v>25</v>
      </c>
    </row>
    <row r="185" spans="17:44">
      <c r="Q185" s="169">
        <v>451967</v>
      </c>
      <c r="R185" s="213" t="s">
        <v>5424</v>
      </c>
      <c r="S185" s="213">
        <f>S184</f>
        <v>-1</v>
      </c>
      <c r="T185" s="213" t="s">
        <v>5432</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122</v>
      </c>
      <c r="AM185" s="117">
        <f t="shared" si="58"/>
        <v>-24400000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122</v>
      </c>
      <c r="AM186" s="117">
        <f t="shared" si="58"/>
        <v>24400000</v>
      </c>
      <c r="AN186" s="20"/>
      <c r="AQ186" t="s">
        <v>25</v>
      </c>
      <c r="AR186" t="s">
        <v>25</v>
      </c>
    </row>
    <row r="187" spans="17:44">
      <c r="Q187" s="113">
        <f>SUM(N44:N50)-SUM(Q123:Q186)</f>
        <v>565549291.89999986</v>
      </c>
      <c r="R187" s="112"/>
      <c r="S187" s="112"/>
      <c r="T187" s="112"/>
      <c r="U187" s="168"/>
      <c r="V187" s="99" t="s">
        <v>25</v>
      </c>
      <c r="W187" s="32"/>
      <c r="X187" s="32"/>
      <c r="Z187" t="s">
        <v>25</v>
      </c>
      <c r="AH187" s="99">
        <v>167</v>
      </c>
      <c r="AI187" s="113" t="s">
        <v>5192</v>
      </c>
      <c r="AJ187" s="113">
        <v>200000</v>
      </c>
      <c r="AK187" s="99">
        <v>3</v>
      </c>
      <c r="AL187" s="20">
        <f t="shared" si="57"/>
        <v>119</v>
      </c>
      <c r="AM187" s="117">
        <f t="shared" si="58"/>
        <v>23800000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116</v>
      </c>
      <c r="AM188" s="117">
        <f t="shared" si="58"/>
        <v>3480000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109</v>
      </c>
      <c r="AM189" s="117">
        <f t="shared" si="58"/>
        <v>-1090000000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109</v>
      </c>
      <c r="AM190" s="117">
        <f t="shared" si="58"/>
        <v>654000000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101</v>
      </c>
      <c r="AM191" s="117">
        <f t="shared" ref="AM191:AM216" si="60">AJ191*AL191</f>
        <v>15150000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94</v>
      </c>
      <c r="AM192" s="117">
        <f t="shared" si="60"/>
        <v>37600000</v>
      </c>
      <c r="AN192" s="20"/>
    </row>
    <row r="193" spans="15:45">
      <c r="V193" s="96"/>
      <c r="W193"/>
      <c r="X193" t="s">
        <v>25</v>
      </c>
      <c r="AH193" s="99">
        <v>173</v>
      </c>
      <c r="AI193" s="113" t="s">
        <v>5283</v>
      </c>
      <c r="AJ193" s="113">
        <v>-100000</v>
      </c>
      <c r="AK193" s="99">
        <v>1</v>
      </c>
      <c r="AL193" s="20">
        <f t="shared" si="59"/>
        <v>93</v>
      </c>
      <c r="AM193" s="117">
        <f t="shared" si="60"/>
        <v>-9300000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92</v>
      </c>
      <c r="AM194" s="117">
        <f t="shared" si="60"/>
        <v>920000000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91</v>
      </c>
      <c r="AM195" s="117">
        <f t="shared" ref="AM195:AM203" si="62">AJ195*AL195</f>
        <v>-36400000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85</v>
      </c>
      <c r="AM196" s="117">
        <f t="shared" si="62"/>
        <v>110500000</v>
      </c>
      <c r="AN196" s="20"/>
      <c r="AR196" t="s">
        <v>25</v>
      </c>
    </row>
    <row r="197" spans="15:45">
      <c r="Q197" s="168" t="s">
        <v>750</v>
      </c>
      <c r="R197" s="56">
        <v>1753091</v>
      </c>
      <c r="S197" s="113">
        <f>R197*$T$355</f>
        <v>1036309049.8960862</v>
      </c>
      <c r="T197" s="168"/>
      <c r="U197" s="168">
        <f>$Q$195*$T$195*S197/$R$224</f>
        <v>356.69785333161155</v>
      </c>
      <c r="V197" s="95">
        <f>S197+U197</f>
        <v>1036309406.5939395</v>
      </c>
      <c r="W197" s="99">
        <f>R197*100/U352</f>
        <v>47.559713777548204</v>
      </c>
      <c r="X197" s="217"/>
      <c r="Y197" t="s">
        <v>25</v>
      </c>
      <c r="AH197" s="99">
        <v>177</v>
      </c>
      <c r="AI197" s="113" t="s">
        <v>5308</v>
      </c>
      <c r="AJ197" s="113">
        <v>230000</v>
      </c>
      <c r="AK197" s="99">
        <v>1</v>
      </c>
      <c r="AL197" s="20">
        <f t="shared" si="61"/>
        <v>85</v>
      </c>
      <c r="AM197" s="117">
        <f t="shared" si="62"/>
        <v>19550000</v>
      </c>
      <c r="AN197" s="20"/>
    </row>
    <row r="198" spans="15:45">
      <c r="P198" s="114"/>
      <c r="Q198" s="168" t="s">
        <v>4437</v>
      </c>
      <c r="R198" s="56">
        <v>1644520</v>
      </c>
      <c r="S198" s="113">
        <f>R198*$T$355</f>
        <v>972129204.20851612</v>
      </c>
      <c r="T198" s="168"/>
      <c r="U198" s="213">
        <f>$Q$195*$T$195*S198/$R$224</f>
        <v>334.60713320694811</v>
      </c>
      <c r="V198" s="95">
        <f t="shared" ref="V198:V199" si="63">S198+U198</f>
        <v>972129538.81564927</v>
      </c>
      <c r="W198" s="99">
        <f>R198*100/U352</f>
        <v>44.614284427593077</v>
      </c>
      <c r="X198" s="115"/>
      <c r="AH198" s="99">
        <v>178</v>
      </c>
      <c r="AI198" s="113" t="s">
        <v>5314</v>
      </c>
      <c r="AJ198" s="113">
        <v>880000</v>
      </c>
      <c r="AK198" s="99">
        <v>4</v>
      </c>
      <c r="AL198" s="20">
        <f t="shared" si="61"/>
        <v>84</v>
      </c>
      <c r="AM198" s="117">
        <f t="shared" si="62"/>
        <v>73920000</v>
      </c>
      <c r="AN198" s="20"/>
    </row>
    <row r="199" spans="15:45">
      <c r="O199" t="s">
        <v>25</v>
      </c>
      <c r="P199" s="114"/>
      <c r="Q199" s="168" t="s">
        <v>4436</v>
      </c>
      <c r="R199" s="56">
        <v>50392</v>
      </c>
      <c r="S199" s="113">
        <f>R199*$T$355</f>
        <v>29788348.489818029</v>
      </c>
      <c r="T199" s="168"/>
      <c r="U199" s="213">
        <f>$Q$195*$T$195*S199/$R$224</f>
        <v>10.25315755148282</v>
      </c>
      <c r="V199" s="95">
        <f t="shared" si="63"/>
        <v>29788358.742975581</v>
      </c>
      <c r="W199" s="99">
        <f>R199*100/U352</f>
        <v>1.3670876735310427</v>
      </c>
      <c r="X199" s="115"/>
      <c r="AH199" s="99">
        <v>179</v>
      </c>
      <c r="AI199" s="113" t="s">
        <v>5319</v>
      </c>
      <c r="AJ199" s="113">
        <v>-900000</v>
      </c>
      <c r="AK199" s="99">
        <v>1</v>
      </c>
      <c r="AL199" s="20">
        <f t="shared" si="61"/>
        <v>80</v>
      </c>
      <c r="AM199" s="117">
        <f t="shared" si="62"/>
        <v>-72000000</v>
      </c>
      <c r="AN199" s="20"/>
    </row>
    <row r="200" spans="15:45">
      <c r="P200" s="114"/>
      <c r="Q200" s="168" t="s">
        <v>1084</v>
      </c>
      <c r="R200" s="56">
        <v>238081</v>
      </c>
      <c r="S200" s="113">
        <f>R200*$T$355</f>
        <v>140737414.60557958</v>
      </c>
      <c r="T200" s="168"/>
      <c r="U200" s="213">
        <f>$Q$195*$T$195*S200/$R$224</f>
        <v>48.441855909957567</v>
      </c>
      <c r="V200" s="95">
        <f>S200+U200</f>
        <v>140737463.04743549</v>
      </c>
      <c r="W200" s="99">
        <f>R200*100/U352</f>
        <v>6.4589141213276742</v>
      </c>
      <c r="X200" s="115"/>
      <c r="AH200" s="99">
        <v>180</v>
      </c>
      <c r="AI200" s="113" t="s">
        <v>990</v>
      </c>
      <c r="AJ200" s="113">
        <v>-3500000</v>
      </c>
      <c r="AK200" s="99">
        <v>1</v>
      </c>
      <c r="AL200" s="20">
        <f t="shared" si="61"/>
        <v>79</v>
      </c>
      <c r="AM200" s="117">
        <f t="shared" si="62"/>
        <v>-276500000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78</v>
      </c>
      <c r="AM201" s="117">
        <f t="shared" si="62"/>
        <v>-124800000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77</v>
      </c>
      <c r="AM202" s="117">
        <f t="shared" si="62"/>
        <v>-61600000</v>
      </c>
      <c r="AN202" s="20"/>
    </row>
    <row r="203" spans="15:45">
      <c r="Q203" s="99"/>
      <c r="R203" s="99"/>
      <c r="S203" s="99"/>
      <c r="T203" s="99" t="s">
        <v>25</v>
      </c>
      <c r="U203" s="99"/>
      <c r="V203" s="99"/>
      <c r="W203" s="99"/>
      <c r="X203" s="96"/>
      <c r="AH203" s="99">
        <v>183</v>
      </c>
      <c r="AI203" s="113" t="s">
        <v>5346</v>
      </c>
      <c r="AJ203" s="113">
        <v>50000</v>
      </c>
      <c r="AK203" s="99">
        <v>2</v>
      </c>
      <c r="AL203" s="20">
        <f t="shared" si="61"/>
        <v>70</v>
      </c>
      <c r="AM203" s="117">
        <f t="shared" si="62"/>
        <v>3500000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68</v>
      </c>
      <c r="AM204" s="117">
        <f t="shared" ref="AM204:AM215" si="65">AJ204*AL204</f>
        <v>27200000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60</v>
      </c>
      <c r="AM205" s="117">
        <f t="shared" si="65"/>
        <v>-600000000</v>
      </c>
      <c r="AN205" s="20" t="s">
        <v>5091</v>
      </c>
    </row>
    <row r="206" spans="15:45">
      <c r="P206" s="114"/>
      <c r="Q206" s="96"/>
      <c r="R206" s="96"/>
      <c r="S206" s="96"/>
      <c r="T206" s="96"/>
      <c r="V206" s="96"/>
      <c r="X206" s="115"/>
      <c r="AH206" s="99">
        <v>186</v>
      </c>
      <c r="AI206" s="113" t="s">
        <v>5306</v>
      </c>
      <c r="AJ206" s="113">
        <v>3000000</v>
      </c>
      <c r="AK206" s="99">
        <v>1</v>
      </c>
      <c r="AL206" s="20">
        <f t="shared" si="64"/>
        <v>60</v>
      </c>
      <c r="AM206" s="117">
        <f t="shared" si="65"/>
        <v>180000000</v>
      </c>
      <c r="AN206" s="20"/>
    </row>
    <row r="207" spans="15:45">
      <c r="Q207" s="99" t="s">
        <v>5033</v>
      </c>
      <c r="R207" s="95">
        <f>S197-R212</f>
        <v>250481669.59608626</v>
      </c>
      <c r="S207" s="96"/>
      <c r="T207" s="96"/>
      <c r="V207" s="96"/>
      <c r="AH207" s="99">
        <v>187</v>
      </c>
      <c r="AI207" s="113" t="s">
        <v>5368</v>
      </c>
      <c r="AJ207" s="113">
        <v>500000</v>
      </c>
      <c r="AK207" s="99">
        <v>23</v>
      </c>
      <c r="AL207" s="20">
        <f t="shared" si="64"/>
        <v>59</v>
      </c>
      <c r="AM207" s="117">
        <f t="shared" si="65"/>
        <v>29500000</v>
      </c>
      <c r="AN207" s="20"/>
      <c r="AR207" t="s">
        <v>25</v>
      </c>
    </row>
    <row r="208" spans="15:45">
      <c r="P208" s="114"/>
      <c r="Q208" s="99" t="s">
        <v>5034</v>
      </c>
      <c r="R208" s="95">
        <f>S200+S199-R213</f>
        <v>13502363.095397621</v>
      </c>
      <c r="S208" s="96"/>
      <c r="T208" s="96" t="s">
        <v>25</v>
      </c>
      <c r="V208" s="96"/>
      <c r="AH208" s="99">
        <v>188</v>
      </c>
      <c r="AI208" s="113" t="s">
        <v>5394</v>
      </c>
      <c r="AJ208" s="113">
        <v>101268</v>
      </c>
      <c r="AK208" s="99">
        <v>1</v>
      </c>
      <c r="AL208" s="20">
        <f t="shared" si="64"/>
        <v>36</v>
      </c>
      <c r="AM208" s="117">
        <f t="shared" si="65"/>
        <v>3645648</v>
      </c>
      <c r="AN208" s="20"/>
      <c r="AR208" t="s">
        <v>25</v>
      </c>
    </row>
    <row r="209" spans="16:45">
      <c r="Q209" s="96"/>
      <c r="R209" s="96"/>
      <c r="S209" s="96"/>
      <c r="T209" s="96"/>
      <c r="V209" s="96"/>
      <c r="AH209" s="99">
        <v>189</v>
      </c>
      <c r="AI209" s="113" t="s">
        <v>5397</v>
      </c>
      <c r="AJ209" s="113">
        <v>101000</v>
      </c>
      <c r="AK209" s="99">
        <v>34</v>
      </c>
      <c r="AL209" s="20">
        <f t="shared" si="64"/>
        <v>35</v>
      </c>
      <c r="AM209" s="117">
        <f t="shared" si="65"/>
        <v>3535000</v>
      </c>
      <c r="AN209" s="20"/>
      <c r="AP209" t="s">
        <v>25</v>
      </c>
    </row>
    <row r="210" spans="16:45">
      <c r="Q210" s="96"/>
      <c r="R210" s="96"/>
      <c r="S210" s="96"/>
      <c r="T210" s="99" t="s">
        <v>180</v>
      </c>
      <c r="U210" s="99" t="s">
        <v>4470</v>
      </c>
      <c r="V210" s="99" t="s">
        <v>4471</v>
      </c>
      <c r="W210" s="99" t="s">
        <v>4481</v>
      </c>
      <c r="X210" s="99" t="s">
        <v>8</v>
      </c>
      <c r="Z210" t="s">
        <v>25</v>
      </c>
      <c r="AH210" s="99">
        <v>190</v>
      </c>
      <c r="AI210" s="113" t="s">
        <v>5434</v>
      </c>
      <c r="AJ210" s="113">
        <v>-488602</v>
      </c>
      <c r="AK210" s="99">
        <v>1</v>
      </c>
      <c r="AL210" s="20">
        <f t="shared" si="64"/>
        <v>1</v>
      </c>
      <c r="AM210" s="117">
        <f t="shared" si="65"/>
        <v>-488602</v>
      </c>
      <c r="AN210" s="20"/>
      <c r="AR210" t="s">
        <v>25</v>
      </c>
    </row>
    <row r="211" spans="16:45">
      <c r="P211" s="114"/>
      <c r="Q211" s="36" t="s">
        <v>4556</v>
      </c>
      <c r="R211" s="95">
        <f>SUM(N44:N50)</f>
        <v>1231374008.8999999</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785827380.29999995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157023400</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490543725</v>
      </c>
      <c r="AK217" s="99"/>
      <c r="AL217" s="99"/>
      <c r="AM217" s="95">
        <f>SUM(AM20:AM216)</f>
        <v>206639120908</v>
      </c>
      <c r="AN217" s="95">
        <f>AM217*AN220/31</f>
        <v>111098523.48947214</v>
      </c>
    </row>
    <row r="218" spans="16:45">
      <c r="P218" s="114"/>
      <c r="Q218" s="99" t="s">
        <v>5436</v>
      </c>
      <c r="R218" s="95">
        <v>4730736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601642248.48947215</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1231374008.8999999</v>
      </c>
      <c r="AM223" t="s">
        <v>25</v>
      </c>
    </row>
    <row r="224" spans="16:45">
      <c r="Q224" s="99" t="s">
        <v>4446</v>
      </c>
      <c r="R224" s="95">
        <f>SUM(R211:R223)</f>
        <v>2178964017.1999998</v>
      </c>
      <c r="T224" s="168" t="s">
        <v>4614</v>
      </c>
      <c r="U224" s="168">
        <v>172025</v>
      </c>
      <c r="V224" s="113">
        <v>245.52809999999999</v>
      </c>
      <c r="W224" s="113">
        <f t="shared" si="66"/>
        <v>42236971.402499996</v>
      </c>
      <c r="X224" s="99" t="s">
        <v>452</v>
      </c>
      <c r="Z224" t="s">
        <v>25</v>
      </c>
      <c r="AI224" t="s">
        <v>4133</v>
      </c>
      <c r="AJ224" s="114">
        <f>AJ223-AJ217</f>
        <v>740830283.89999986</v>
      </c>
      <c r="AM224" t="s">
        <v>25</v>
      </c>
    </row>
    <row r="225" spans="17:44">
      <c r="Q225" s="96"/>
      <c r="T225" s="168" t="s">
        <v>4614</v>
      </c>
      <c r="U225" s="168">
        <v>189227</v>
      </c>
      <c r="V225" s="113">
        <v>245.52809999999999</v>
      </c>
      <c r="W225" s="113">
        <f t="shared" si="66"/>
        <v>46460545.778700002</v>
      </c>
      <c r="X225" s="99" t="s">
        <v>750</v>
      </c>
      <c r="AI225" t="s">
        <v>941</v>
      </c>
      <c r="AJ225" s="114">
        <f>AN217</f>
        <v>111098523.48947214</v>
      </c>
      <c r="AN225" t="s">
        <v>25</v>
      </c>
    </row>
    <row r="226" spans="17:44">
      <c r="T226" s="168" t="s">
        <v>4615</v>
      </c>
      <c r="U226" s="168">
        <v>79720</v>
      </c>
      <c r="V226" s="113">
        <v>246.6568</v>
      </c>
      <c r="W226" s="113">
        <f t="shared" si="66"/>
        <v>19663480.096000001</v>
      </c>
      <c r="X226" s="99" t="s">
        <v>452</v>
      </c>
      <c r="Y226" t="s">
        <v>25</v>
      </c>
      <c r="AI226" t="s">
        <v>4062</v>
      </c>
      <c r="AJ226" s="114">
        <f>AJ223-AJ222</f>
        <v>629731760.41052771</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4698</v>
      </c>
      <c r="R274" s="95">
        <v>6667654</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4706</v>
      </c>
      <c r="R275" s="95">
        <v>8981245</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4711</v>
      </c>
      <c r="R276" s="95">
        <v>9181756</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4729</v>
      </c>
      <c r="R278" s="95">
        <v>41248054</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4737</v>
      </c>
      <c r="R279" s="95">
        <v>37328780</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4825</v>
      </c>
      <c r="R280" s="95">
        <v>-2194100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4862</v>
      </c>
      <c r="R281" s="95">
        <v>20193916</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4936</v>
      </c>
      <c r="R282" s="95">
        <v>-2000000</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5015</v>
      </c>
      <c r="R283" s="95">
        <v>6800000</v>
      </c>
      <c r="S283" t="s">
        <v>25</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5029</v>
      </c>
      <c r="R284" s="95">
        <v>850000</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5039</v>
      </c>
      <c r="R285" s="95">
        <v>2290500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5055</v>
      </c>
      <c r="R286" s="95">
        <v>400000</v>
      </c>
      <c r="S286" t="s">
        <v>25</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5062</v>
      </c>
      <c r="R287" s="95">
        <v>150000</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5098</v>
      </c>
      <c r="R288" s="95">
        <v>-144950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5134</v>
      </c>
      <c r="R289" s="95">
        <v>320000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5139</v>
      </c>
      <c r="R290" s="95">
        <v>500000</v>
      </c>
      <c r="S290" t="s">
        <v>25</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5192</v>
      </c>
      <c r="R291" s="95">
        <v>400000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5197</v>
      </c>
      <c r="R292" s="95">
        <v>50000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5208</v>
      </c>
      <c r="R293" s="95">
        <v>300000</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5244</v>
      </c>
      <c r="R294" s="95">
        <v>250000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5288</v>
      </c>
      <c r="R295" s="95">
        <v>200000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5346</v>
      </c>
      <c r="R296" s="95">
        <v>122000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5357</v>
      </c>
      <c r="R297" s="95">
        <v>200000</v>
      </c>
      <c r="S297" t="s">
        <v>25</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5373</v>
      </c>
      <c r="R298" s="95">
        <v>60000</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c r="R299" s="95"/>
      <c r="S299" t="s">
        <v>25</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c r="R300" s="95">
        <f>SUM(R260:R299)</f>
        <v>436983825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9" t="s">
        <v>6</v>
      </c>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R302" t="s">
        <v>25</v>
      </c>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S303" t="s">
        <v>25</v>
      </c>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t="s">
        <v>452</v>
      </c>
      <c r="R304" s="99"/>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7:40">
      <c r="Q305" s="99" t="s">
        <v>4429</v>
      </c>
      <c r="R305" s="95">
        <v>63115000</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7:40">
      <c r="Q306" s="99" t="s">
        <v>4482</v>
      </c>
      <c r="R306" s="95">
        <v>13300000</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7:40">
      <c r="Q307" s="99" t="s">
        <v>4490</v>
      </c>
      <c r="R307" s="95">
        <v>2269000</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7:40">
      <c r="Q308" s="99" t="s">
        <v>4605</v>
      </c>
      <c r="R308" s="95">
        <v>25071612</v>
      </c>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7:40">
      <c r="Q309" s="99" t="s">
        <v>4614</v>
      </c>
      <c r="R309" s="95">
        <v>42236984</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7:40" ht="30">
      <c r="Q310" s="99" t="s">
        <v>4615</v>
      </c>
      <c r="R310" s="95">
        <v>19663646</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7:40">
      <c r="Q311" s="99" t="s">
        <v>4639</v>
      </c>
      <c r="R311" s="95">
        <v>4374525</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7:40">
      <c r="Q312" s="99" t="s">
        <v>4651</v>
      </c>
      <c r="R312" s="95">
        <v>6550580</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7:40">
      <c r="Q313" s="99" t="s">
        <v>4653</v>
      </c>
      <c r="R313" s="95">
        <v>7054895</v>
      </c>
      <c r="T313" s="213" t="s">
        <v>5197</v>
      </c>
      <c r="U313" s="213">
        <v>113</v>
      </c>
      <c r="V313" s="113">
        <v>442.48200000000003</v>
      </c>
      <c r="W313" s="113">
        <f t="shared" ref="W313:W350" si="81">U313*V313</f>
        <v>50000.466</v>
      </c>
      <c r="X313" s="36" t="s">
        <v>750</v>
      </c>
      <c r="AH313" s="149">
        <v>80</v>
      </c>
      <c r="AI313" s="149" t="s">
        <v>5089</v>
      </c>
      <c r="AJ313" s="188">
        <v>2480000</v>
      </c>
      <c r="AK313" s="149">
        <v>12</v>
      </c>
      <c r="AL313" s="149">
        <f t="shared" si="79"/>
        <v>170</v>
      </c>
      <c r="AM313" s="149">
        <f t="shared" si="80"/>
        <v>421600000</v>
      </c>
      <c r="AN313" s="149"/>
    </row>
    <row r="314" spans="17:40">
      <c r="Q314" s="99" t="s">
        <v>4676</v>
      </c>
      <c r="R314" s="95">
        <v>2145814</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7:40">
      <c r="Q315" s="99" t="s">
        <v>4687</v>
      </c>
      <c r="R315" s="95">
        <v>4369730</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7:40">
      <c r="Q316" s="99" t="s">
        <v>4689</v>
      </c>
      <c r="R316" s="95">
        <v>8739459</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7:40">
      <c r="Q317" s="99" t="s">
        <v>4698</v>
      </c>
      <c r="R317" s="95">
        <v>6667654</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7:40">
      <c r="Q318" s="99" t="s">
        <v>3681</v>
      </c>
      <c r="R318" s="95">
        <v>8981245</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7:40">
      <c r="Q319" s="99" t="s">
        <v>4711</v>
      </c>
      <c r="R319" s="95">
        <v>9181756</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7:40" ht="45">
      <c r="Q320" s="99" t="s">
        <v>4715</v>
      </c>
      <c r="R320" s="95">
        <v>11811208</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4729</v>
      </c>
      <c r="R321" s="95">
        <v>41248054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4737</v>
      </c>
      <c r="R322" s="95">
        <v>37328780</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4744</v>
      </c>
      <c r="R323" s="95">
        <v>50000000</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4807</v>
      </c>
      <c r="R324" s="95">
        <v>68656</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4820</v>
      </c>
      <c r="R325" s="95">
        <v>4000236</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4820</v>
      </c>
      <c r="R326" s="95">
        <v>2250000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4825</v>
      </c>
      <c r="R327" s="95">
        <v>-2512200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4834</v>
      </c>
      <c r="R328" s="95">
        <v>300000</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979</v>
      </c>
      <c r="R329" s="95">
        <v>1100000</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4841</v>
      </c>
      <c r="R330" s="95">
        <v>890000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4861</v>
      </c>
      <c r="R331" s="95">
        <v>1000000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4862</v>
      </c>
      <c r="R332" s="95">
        <v>45436311</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4862</v>
      </c>
      <c r="R333" s="95">
        <v>-3500000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4875</v>
      </c>
      <c r="R334" s="95">
        <v>2520000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4910</v>
      </c>
      <c r="R335" s="95">
        <v>4900000</v>
      </c>
      <c r="S335" s="114"/>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4930</v>
      </c>
      <c r="R336" s="95">
        <v>1150000</v>
      </c>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4882</v>
      </c>
      <c r="R337" s="95">
        <v>250000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4971</v>
      </c>
      <c r="R338" s="95">
        <v>1403460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4976</v>
      </c>
      <c r="R339" s="95">
        <v>200000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4982</v>
      </c>
      <c r="R340" s="95">
        <v>345000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4987</v>
      </c>
      <c r="R341" s="95">
        <v>900000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4991</v>
      </c>
      <c r="R342" s="95">
        <v>372517</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5002</v>
      </c>
      <c r="R343" s="95">
        <v>6489257</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5055</v>
      </c>
      <c r="R344" s="95">
        <v>618000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5069</v>
      </c>
      <c r="R345" s="95">
        <v>20105000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5074</v>
      </c>
      <c r="R346" s="95">
        <v>-21079990</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5075</v>
      </c>
      <c r="R347" s="95">
        <v>-5949277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5082</v>
      </c>
      <c r="R348" s="95">
        <v>-15370656</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5089</v>
      </c>
      <c r="R349" s="95">
        <v>4960000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5089</v>
      </c>
      <c r="R350" s="95">
        <v>10000000</v>
      </c>
      <c r="T350" s="213" t="s">
        <v>5424</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5098</v>
      </c>
      <c r="R351" s="95">
        <v>-40570100</v>
      </c>
      <c r="T351" s="168"/>
      <c r="U351" s="168"/>
      <c r="V351" s="113"/>
      <c r="W351" s="113"/>
      <c r="X351" s="99"/>
      <c r="AH351" s="20">
        <v>118</v>
      </c>
      <c r="AI351" s="20" t="s">
        <v>5357</v>
      </c>
      <c r="AJ351" s="117">
        <v>-500000</v>
      </c>
      <c r="AK351" s="20">
        <v>12</v>
      </c>
      <c r="AL351" s="20">
        <f t="shared" si="88"/>
        <v>59</v>
      </c>
      <c r="AM351" s="20">
        <f t="shared" si="89"/>
        <v>-29500000</v>
      </c>
      <c r="AN351" s="20"/>
    </row>
    <row r="352" spans="17:46">
      <c r="Q352" s="99" t="s">
        <v>5114</v>
      </c>
      <c r="R352" s="95">
        <v>1000000</v>
      </c>
      <c r="T352" s="168"/>
      <c r="U352" s="168">
        <f>SUM(U211:U351)</f>
        <v>3686084</v>
      </c>
      <c r="V352" s="99"/>
      <c r="W352" s="99"/>
      <c r="X352" s="99"/>
      <c r="AH352" s="149">
        <v>119</v>
      </c>
      <c r="AI352" s="149" t="s">
        <v>989</v>
      </c>
      <c r="AJ352" s="188">
        <v>-50000</v>
      </c>
      <c r="AK352" s="149">
        <v>0</v>
      </c>
      <c r="AL352" s="149">
        <f t="shared" si="88"/>
        <v>47</v>
      </c>
      <c r="AM352" s="149">
        <f t="shared" si="89"/>
        <v>-2350000</v>
      </c>
      <c r="AN352" s="149"/>
    </row>
    <row r="353" spans="17:45">
      <c r="Q353" s="99" t="s">
        <v>5115</v>
      </c>
      <c r="R353" s="95">
        <v>400000</v>
      </c>
      <c r="T353" s="99"/>
      <c r="U353" s="99" t="s">
        <v>6</v>
      </c>
      <c r="V353" s="99"/>
      <c r="W353" s="99"/>
      <c r="X353" s="99"/>
      <c r="AH353" s="20">
        <v>120</v>
      </c>
      <c r="AI353" s="20" t="s">
        <v>989</v>
      </c>
      <c r="AJ353" s="117">
        <v>-50000</v>
      </c>
      <c r="AK353" s="20">
        <v>28</v>
      </c>
      <c r="AL353" s="20">
        <f t="shared" si="88"/>
        <v>47</v>
      </c>
      <c r="AM353" s="20">
        <f t="shared" si="89"/>
        <v>-2350000</v>
      </c>
      <c r="AN353" s="20"/>
    </row>
    <row r="354" spans="17:45">
      <c r="Q354" s="99" t="s">
        <v>5122</v>
      </c>
      <c r="R354" s="95">
        <v>120000</v>
      </c>
      <c r="T354" s="200" t="s">
        <v>4472</v>
      </c>
      <c r="AH354" s="20">
        <v>121</v>
      </c>
      <c r="AI354" s="20" t="s">
        <v>5410</v>
      </c>
      <c r="AJ354" s="117">
        <v>-3020625</v>
      </c>
      <c r="AK354" s="20">
        <v>18</v>
      </c>
      <c r="AL354" s="20">
        <f t="shared" si="88"/>
        <v>19</v>
      </c>
      <c r="AM354" s="20">
        <f t="shared" si="89"/>
        <v>-57391875</v>
      </c>
      <c r="AN354" s="20"/>
    </row>
    <row r="355" spans="17:45">
      <c r="Q355" s="99" t="s">
        <v>5141</v>
      </c>
      <c r="R355" s="95">
        <v>500000</v>
      </c>
      <c r="T355" s="199">
        <f>R224/U352</f>
        <v>591.13249106640001</v>
      </c>
      <c r="AH355" s="20">
        <v>122</v>
      </c>
      <c r="AI355" s="20" t="s">
        <v>5423</v>
      </c>
      <c r="AJ355" s="117">
        <v>18000000</v>
      </c>
      <c r="AK355" s="20">
        <v>1</v>
      </c>
      <c r="AL355" s="20">
        <f t="shared" si="88"/>
        <v>1</v>
      </c>
      <c r="AM355" s="20">
        <f t="shared" si="89"/>
        <v>18000000</v>
      </c>
      <c r="AN355" s="20"/>
    </row>
    <row r="356" spans="17:45">
      <c r="Q356" s="99" t="s">
        <v>5127</v>
      </c>
      <c r="R356" s="95">
        <v>744000</v>
      </c>
      <c r="W356" s="114"/>
      <c r="Y356" t="s">
        <v>25</v>
      </c>
      <c r="AH356" s="20"/>
      <c r="AI356" s="20"/>
      <c r="AJ356" s="117"/>
      <c r="AK356" s="20"/>
      <c r="AL356" s="20">
        <f t="shared" si="88"/>
        <v>0</v>
      </c>
      <c r="AM356" s="20">
        <f t="shared" si="89"/>
        <v>0</v>
      </c>
      <c r="AN356" s="20"/>
    </row>
    <row r="357" spans="17:45">
      <c r="Q357" s="99" t="s">
        <v>5157</v>
      </c>
      <c r="R357" s="95">
        <v>65000</v>
      </c>
      <c r="U357" s="96" t="s">
        <v>267</v>
      </c>
      <c r="V357" t="s">
        <v>4473</v>
      </c>
      <c r="X357" t="s">
        <v>25</v>
      </c>
      <c r="Y357" t="s">
        <v>25</v>
      </c>
      <c r="AH357" s="20"/>
      <c r="AI357" s="20"/>
      <c r="AJ357" s="117"/>
      <c r="AK357" s="20"/>
      <c r="AL357" s="20">
        <f t="shared" si="88"/>
        <v>0</v>
      </c>
      <c r="AM357" s="20">
        <f t="shared" si="89"/>
        <v>0</v>
      </c>
      <c r="AN357" s="20"/>
    </row>
    <row r="358" spans="17:45">
      <c r="Q358" s="99" t="s">
        <v>5165</v>
      </c>
      <c r="R358" s="95">
        <v>-14053702</v>
      </c>
      <c r="T358" s="114"/>
      <c r="U358" s="113">
        <v>18000000</v>
      </c>
      <c r="V358">
        <f>U358/T355</f>
        <v>30450.026469578912</v>
      </c>
      <c r="X358" t="s">
        <v>25</v>
      </c>
      <c r="AH358" s="20"/>
      <c r="AI358" s="20"/>
      <c r="AJ358" s="117"/>
      <c r="AK358" s="20"/>
      <c r="AL358" s="20">
        <f t="shared" si="88"/>
        <v>0</v>
      </c>
      <c r="AM358" s="20">
        <f t="shared" si="89"/>
        <v>0</v>
      </c>
      <c r="AN358" s="20"/>
      <c r="AS358" t="s">
        <v>25</v>
      </c>
    </row>
    <row r="359" spans="17:45">
      <c r="Q359" s="99" t="s">
        <v>5128</v>
      </c>
      <c r="R359" s="95">
        <v>3555678</v>
      </c>
      <c r="X359" t="s">
        <v>25</v>
      </c>
      <c r="Y359" t="s">
        <v>25</v>
      </c>
      <c r="AH359" s="20"/>
      <c r="AI359" s="20"/>
      <c r="AJ359" s="117"/>
      <c r="AK359" s="20"/>
      <c r="AL359" s="20">
        <f t="shared" si="88"/>
        <v>0</v>
      </c>
      <c r="AM359" s="20">
        <f t="shared" si="89"/>
        <v>0</v>
      </c>
      <c r="AN359" s="20"/>
    </row>
    <row r="360" spans="17:45" ht="30">
      <c r="Q360" s="99" t="s">
        <v>5210</v>
      </c>
      <c r="R360" s="95">
        <v>3495</v>
      </c>
      <c r="V360" s="22" t="s">
        <v>5318</v>
      </c>
      <c r="W360" s="223"/>
      <c r="X360" s="96" t="s">
        <v>25</v>
      </c>
      <c r="Y360" t="s">
        <v>25</v>
      </c>
      <c r="AH360" s="20"/>
      <c r="AI360" s="20"/>
      <c r="AJ360" s="117"/>
      <c r="AK360" s="20"/>
      <c r="AL360" s="20">
        <f t="shared" si="88"/>
        <v>0</v>
      </c>
      <c r="AM360" s="20">
        <f t="shared" si="89"/>
        <v>0</v>
      </c>
      <c r="AN360" s="20"/>
    </row>
    <row r="361" spans="17:45">
      <c r="Q361" s="99" t="s">
        <v>5219</v>
      </c>
      <c r="R361" s="95">
        <v>6000000</v>
      </c>
      <c r="W361" s="96" t="s">
        <v>25</v>
      </c>
      <c r="X361" t="s">
        <v>25</v>
      </c>
      <c r="AH361" s="20"/>
      <c r="AI361" s="20"/>
      <c r="AJ361" s="117"/>
      <c r="AK361" s="20"/>
      <c r="AL361" s="20">
        <f t="shared" si="88"/>
        <v>0</v>
      </c>
      <c r="AM361" s="20">
        <f t="shared" si="89"/>
        <v>0</v>
      </c>
      <c r="AN361" s="20"/>
    </row>
    <row r="362" spans="17:45">
      <c r="Q362" s="99" t="s">
        <v>5225</v>
      </c>
      <c r="R362" s="95">
        <v>17220</v>
      </c>
      <c r="S362" s="114"/>
      <c r="X362" t="s">
        <v>25</v>
      </c>
      <c r="AH362" s="99"/>
      <c r="AI362" s="99"/>
      <c r="AJ362" s="117"/>
      <c r="AK362" s="99"/>
      <c r="AL362" s="20">
        <f t="shared" si="88"/>
        <v>0</v>
      </c>
      <c r="AM362" s="20">
        <f t="shared" si="89"/>
        <v>0</v>
      </c>
      <c r="AN362" s="20"/>
    </row>
    <row r="363" spans="17:45" ht="60">
      <c r="Q363" s="99" t="s">
        <v>5226</v>
      </c>
      <c r="R363" s="95">
        <v>8249</v>
      </c>
      <c r="T363" s="22" t="s">
        <v>4456</v>
      </c>
      <c r="V363" s="223"/>
      <c r="X363" t="s">
        <v>25</v>
      </c>
      <c r="AH363" s="99"/>
      <c r="AI363" s="99"/>
      <c r="AJ363" s="117"/>
      <c r="AK363" s="99"/>
      <c r="AL363" s="20">
        <f t="shared" si="82"/>
        <v>0</v>
      </c>
      <c r="AM363" s="20">
        <f t="shared" si="83"/>
        <v>0</v>
      </c>
      <c r="AN363" s="99"/>
    </row>
    <row r="364" spans="17:45" ht="45">
      <c r="Q364" s="99" t="s">
        <v>5228</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5228</v>
      </c>
      <c r="R365" s="95">
        <v>4046552</v>
      </c>
      <c r="AJ365" t="s">
        <v>4056</v>
      </c>
      <c r="AM365" t="s">
        <v>284</v>
      </c>
      <c r="AN365" t="s">
        <v>941</v>
      </c>
    </row>
    <row r="366" spans="17:45">
      <c r="Q366" s="99" t="s">
        <v>5233</v>
      </c>
      <c r="R366" s="95">
        <v>-3884943</v>
      </c>
    </row>
    <row r="367" spans="17:45">
      <c r="Q367" s="99" t="s">
        <v>5244</v>
      </c>
      <c r="R367" s="95">
        <v>6022</v>
      </c>
      <c r="T367" s="99" t="s">
        <v>4474</v>
      </c>
      <c r="U367" s="99" t="s">
        <v>4446</v>
      </c>
      <c r="V367" s="99" t="s">
        <v>951</v>
      </c>
      <c r="W367" s="74"/>
      <c r="AI367" t="s">
        <v>4058</v>
      </c>
      <c r="AJ367" s="114">
        <f>AJ364+AN364</f>
        <v>533410621.07145214</v>
      </c>
    </row>
    <row r="368" spans="17:45">
      <c r="Q368" s="99" t="s">
        <v>5277</v>
      </c>
      <c r="R368" s="95">
        <v>400000</v>
      </c>
      <c r="T368" s="95">
        <f>S253+R300+R384</f>
        <v>946559366</v>
      </c>
      <c r="U368" s="95">
        <f>R224</f>
        <v>2178964017.1999998</v>
      </c>
      <c r="V368" s="95">
        <f>U368-T368</f>
        <v>1232404651.1999998</v>
      </c>
      <c r="AI368" t="s">
        <v>4061</v>
      </c>
      <c r="AJ368" s="114">
        <f>SUM(N20:N31)</f>
        <v>942859272.29999995</v>
      </c>
    </row>
    <row r="369" spans="17:40">
      <c r="Q369" s="99" t="s">
        <v>5283</v>
      </c>
      <c r="R369" s="95">
        <v>92847</v>
      </c>
      <c r="AI369" t="s">
        <v>4133</v>
      </c>
      <c r="AJ369" s="114">
        <f>AJ368-AJ364</f>
        <v>475792045.29999995</v>
      </c>
    </row>
    <row r="370" spans="17:40">
      <c r="Q370" s="99" t="s">
        <v>5283</v>
      </c>
      <c r="R370" s="95">
        <v>-100000</v>
      </c>
      <c r="AI370" t="s">
        <v>941</v>
      </c>
      <c r="AJ370" s="114">
        <f>AN364</f>
        <v>66343394.071452133</v>
      </c>
    </row>
    <row r="371" spans="17:40">
      <c r="Q371" s="99" t="s">
        <v>5288</v>
      </c>
      <c r="R371" s="95">
        <v>10000000</v>
      </c>
      <c r="AI371" t="s">
        <v>4062</v>
      </c>
      <c r="AJ371" s="114">
        <f>AJ369-AJ370</f>
        <v>409448651.22854781</v>
      </c>
      <c r="AM371" t="s">
        <v>25</v>
      </c>
      <c r="AN371" t="s">
        <v>25</v>
      </c>
    </row>
    <row r="372" spans="17:40">
      <c r="Q372" s="99" t="s">
        <v>5297</v>
      </c>
      <c r="R372" s="95">
        <v>-400000</v>
      </c>
      <c r="AN372" t="s">
        <v>25</v>
      </c>
    </row>
    <row r="373" spans="17:40">
      <c r="Q373" s="99" t="s">
        <v>5305</v>
      </c>
      <c r="R373" s="95">
        <v>5649</v>
      </c>
      <c r="T373" t="s">
        <v>25</v>
      </c>
    </row>
    <row r="374" spans="17:40">
      <c r="Q374" s="99" t="s">
        <v>5307</v>
      </c>
      <c r="R374" s="95">
        <v>460000</v>
      </c>
      <c r="T374" t="s">
        <v>25</v>
      </c>
    </row>
    <row r="375" spans="17:40">
      <c r="Q375" s="99" t="s">
        <v>5308</v>
      </c>
      <c r="R375" s="95">
        <v>1300000</v>
      </c>
      <c r="AN375" t="s">
        <v>25</v>
      </c>
    </row>
    <row r="376" spans="17:40">
      <c r="Q376" s="99" t="s">
        <v>5308</v>
      </c>
      <c r="R376" s="95">
        <v>7300000</v>
      </c>
      <c r="T376" t="s">
        <v>25</v>
      </c>
      <c r="AN376" t="s">
        <v>25</v>
      </c>
    </row>
    <row r="377" spans="17:40">
      <c r="Q377" s="99" t="s">
        <v>990</v>
      </c>
      <c r="R377" s="95">
        <v>21203</v>
      </c>
      <c r="T377" t="s">
        <v>25</v>
      </c>
    </row>
    <row r="378" spans="17:40">
      <c r="Q378" s="99" t="s">
        <v>4272</v>
      </c>
      <c r="R378" s="95">
        <v>34550</v>
      </c>
    </row>
    <row r="379" spans="17:40">
      <c r="Q379" s="99" t="s">
        <v>5306</v>
      </c>
      <c r="R379" s="95">
        <v>-2134406</v>
      </c>
    </row>
    <row r="380" spans="17:40">
      <c r="Q380" s="99" t="s">
        <v>5369</v>
      </c>
      <c r="R380" s="95">
        <v>-618906</v>
      </c>
      <c r="T380" t="s">
        <v>25</v>
      </c>
    </row>
    <row r="381" spans="17:40">
      <c r="Q381" s="99" t="s">
        <v>5373</v>
      </c>
      <c r="R381" s="95">
        <v>-54615</v>
      </c>
      <c r="T381" t="s">
        <v>25</v>
      </c>
    </row>
    <row r="382" spans="17:40">
      <c r="Q382" s="99" t="s">
        <v>5423</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55" zoomScale="80" zoomScaleNormal="80" workbookViewId="0">
      <selection activeCell="N286" sqref="N28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5413</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5414</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5415</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5416</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5417</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5418</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5419</v>
      </c>
      <c r="L255" s="84">
        <v>1154946925</v>
      </c>
      <c r="M255" s="84">
        <v>724493233</v>
      </c>
      <c r="N255" s="220">
        <f t="shared" si="63"/>
        <v>1879440158</v>
      </c>
      <c r="O255" s="113">
        <f t="shared" si="64"/>
        <v>3771085</v>
      </c>
      <c r="P255" s="113">
        <f t="shared" si="65"/>
        <v>9561690</v>
      </c>
      <c r="Q255" s="229">
        <v>0</v>
      </c>
    </row>
    <row r="256" spans="9:19">
      <c r="I256" s="213" t="s">
        <v>5421</v>
      </c>
      <c r="J256" s="113">
        <f t="shared" si="62"/>
        <v>40761008</v>
      </c>
      <c r="K256" s="213" t="s">
        <v>5422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5424</v>
      </c>
      <c r="L257" s="84">
        <v>1204397532</v>
      </c>
      <c r="M257" s="84">
        <v>768290500</v>
      </c>
      <c r="N257" s="220">
        <f t="shared" si="63"/>
        <v>1972688032</v>
      </c>
      <c r="O257" s="113">
        <f t="shared" si="64"/>
        <v>4065339</v>
      </c>
      <c r="P257" s="113">
        <f t="shared" si="65"/>
        <v>12754938</v>
      </c>
      <c r="Q257" s="229">
        <v>0</v>
      </c>
    </row>
    <row r="258" spans="9:19">
      <c r="I258" s="189" t="s">
        <v>5435</v>
      </c>
      <c r="J258" s="188">
        <f>L258-L257+488602</f>
        <v>5275127</v>
      </c>
      <c r="K258" s="189" t="s">
        <v>5433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5434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5438</v>
      </c>
      <c r="L260" s="84">
        <v>1216544047</v>
      </c>
      <c r="M260" s="84">
        <v>776626854</v>
      </c>
      <c r="N260" s="35">
        <f t="shared" si="63"/>
        <v>1993170901</v>
      </c>
      <c r="O260" s="113">
        <f t="shared" si="64"/>
        <v>6842557</v>
      </c>
      <c r="P260" s="113">
        <f t="shared" si="65"/>
        <v>15659782</v>
      </c>
      <c r="Q260" s="229">
        <v>0</v>
      </c>
    </row>
    <row r="261" spans="9:19">
      <c r="I261" s="213"/>
      <c r="J261" s="113">
        <f t="shared" si="62"/>
        <v>-1216544047</v>
      </c>
      <c r="K261" s="213"/>
      <c r="L261" s="84"/>
      <c r="M261" s="84"/>
      <c r="N261" s="113">
        <f t="shared" si="63"/>
        <v>0</v>
      </c>
      <c r="O261" s="113">
        <f t="shared" si="64"/>
        <v>-776626854</v>
      </c>
      <c r="P261" s="113">
        <f t="shared" si="65"/>
        <v>-1993170901</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row>
    <row r="22" spans="5:35">
      <c r="O22" s="99"/>
      <c r="P22" s="99"/>
      <c r="Q22" s="285"/>
      <c r="R22" s="285"/>
      <c r="S22" s="285"/>
      <c r="T22" s="285"/>
      <c r="U22" s="96"/>
      <c r="V22" s="96"/>
      <c r="W22" s="41" t="s">
        <v>5186</v>
      </c>
      <c r="X22" s="41">
        <v>9909620343</v>
      </c>
      <c r="Y22" s="41">
        <v>100</v>
      </c>
      <c r="Z22" s="41"/>
    </row>
    <row r="23" spans="5:35" ht="15.75">
      <c r="O23" s="178"/>
      <c r="P23" s="99" t="s">
        <v>4083</v>
      </c>
      <c r="Q23" s="286" t="s">
        <v>1087</v>
      </c>
      <c r="R23" s="287" t="s">
        <v>1088</v>
      </c>
      <c r="S23" s="286" t="s">
        <v>1089</v>
      </c>
      <c r="T23" s="288" t="s">
        <v>1090</v>
      </c>
      <c r="W23" s="41" t="s">
        <v>5187</v>
      </c>
      <c r="X23" s="41">
        <v>9378807702</v>
      </c>
      <c r="Y23" s="41">
        <v>0</v>
      </c>
      <c r="Z23" s="41"/>
      <c r="AD23" t="s">
        <v>25</v>
      </c>
    </row>
    <row r="24" spans="5:35">
      <c r="O24" s="99"/>
      <c r="P24" s="99"/>
      <c r="Q24" s="286"/>
      <c r="R24" s="287"/>
      <c r="S24" s="286"/>
      <c r="T24" s="288"/>
      <c r="W24" s="41" t="s">
        <v>5218</v>
      </c>
      <c r="X24" s="41"/>
      <c r="Y24" s="41">
        <v>200</v>
      </c>
      <c r="Z24" s="41">
        <v>2</v>
      </c>
    </row>
    <row r="25" spans="5:35">
      <c r="O25" s="173" t="s">
        <v>4139</v>
      </c>
      <c r="P25" s="173">
        <v>2182188507</v>
      </c>
      <c r="Q25" s="174" t="s">
        <v>1091</v>
      </c>
      <c r="R25" s="174" t="s">
        <v>4084</v>
      </c>
      <c r="S25" s="174" t="s">
        <v>4089</v>
      </c>
      <c r="T25" s="174" t="s">
        <v>1092</v>
      </c>
      <c r="W25" s="41" t="s">
        <v>5247</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2020-01-01T12:15:25Z</dcterms:modified>
</cp:coreProperties>
</file>