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B31" i="18" l="1"/>
  <c r="P24" i="18"/>
  <c r="N24" i="18" s="1"/>
  <c r="AA25" i="18" l="1"/>
  <c r="AA28" i="18"/>
  <c r="Q44" i="18"/>
  <c r="P22" i="18"/>
  <c r="N41" i="18"/>
  <c r="R44" i="18" l="1"/>
  <c r="D55" i="50" l="1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A24" i="18" l="1"/>
  <c r="AB24" i="18" s="1"/>
  <c r="AB28" i="18"/>
  <c r="N44" i="18"/>
  <c r="AA27" i="18"/>
  <c r="AB27" i="18" s="1"/>
  <c r="D73" i="48"/>
  <c r="N43" i="18"/>
  <c r="AA26" i="18"/>
  <c r="AB26" i="18" s="1"/>
  <c r="AB25" i="18"/>
  <c r="P23" i="18"/>
  <c r="N23" i="18" s="1"/>
  <c r="N22" i="18"/>
  <c r="N31" i="18" l="1"/>
  <c r="C8" i="36" l="1"/>
  <c r="P49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N40" i="18"/>
  <c r="P19" i="18"/>
  <c r="N19" i="18" s="1"/>
  <c r="B263" i="15"/>
  <c r="Q20" i="49" l="1"/>
  <c r="P20" i="49" s="1"/>
  <c r="S18" i="49"/>
  <c r="R18" i="49" s="1"/>
  <c r="U19" i="49"/>
  <c r="T19" i="49" s="1"/>
  <c r="S33" i="18"/>
  <c r="S34" i="18" s="1"/>
  <c r="S35" i="18" s="1"/>
  <c r="S36" i="18" s="1"/>
  <c r="S37" i="18" s="1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Q22" i="49" l="1"/>
  <c r="P22" i="49"/>
  <c r="U21" i="49"/>
  <c r="T21" i="49" s="1"/>
  <c r="S22" i="49"/>
  <c r="R22" i="49" s="1"/>
  <c r="P38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25" i="20" l="1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K224" i="20" s="1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24" i="20" l="1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8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7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9" i="18"/>
  <c r="AJ76" i="18" l="1"/>
  <c r="AK77" i="18"/>
  <c r="AJ75" i="18" l="1"/>
  <c r="AK76" i="18"/>
  <c r="N37" i="18"/>
  <c r="Q39" i="18" s="1"/>
  <c r="AH89" i="18" l="1"/>
  <c r="AH90" i="18" s="1"/>
  <c r="AJ74" i="18"/>
  <c r="AK75" i="18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2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2" i="18" l="1"/>
  <c r="L51" i="18"/>
  <c r="E33" i="13"/>
  <c r="G34" i="13"/>
  <c r="I97" i="20"/>
  <c r="K97" i="20"/>
  <c r="J97" i="20"/>
  <c r="F108" i="15"/>
  <c r="C20" i="18"/>
  <c r="G20" i="14"/>
  <c r="G21" i="14"/>
  <c r="L53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<sst xmlns="http://schemas.openxmlformats.org/spreadsheetml/2006/main" count="9190" uniqueCount="4356">
  <si>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</si>
  <si>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</si>
  <si>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</si>
  <si>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</si>
  <si>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</si>
  <si>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</si>
  <si>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</si>
  <si>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</si>
  <si>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</si>
  <si>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</si>
  <si>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</si>
  <si>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</si>
  <si>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</si>
  <si>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</si>
  <si>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</si>
  <si>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</si>
  <si>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</si>
  <si>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</si>
  <si>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</si>
  <si>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</si>
  <si>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</si>
  <si>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</si>
  <si>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</si>
  <si>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</si>
  <si>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</si>
  <si>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</si>
  <si>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</si>
  <si>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</si>
  <si>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</si>
  <si>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</si>
  <si>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</si>
  <si>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</si>
  <si>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</si>
  <si>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</si>
  <si>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</si>
  <si>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</si>
  <si>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</si>
  <si>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</si>
  <si>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</si>
  <si>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</si>
  <si>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</si>
  <si>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</si>
  <si>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</si>
  <si>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</si>
  <si>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</si>
  <si>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</si>
  <si>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</si>
  <si>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</si>
  <si>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</si>
  <si>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</si>
  <si>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</si>
  <si>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</si>
  <si>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</si>
  <si>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</si>
  <si>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</si>
  <si>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</si>
  <si>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</si>
  <si>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</si>
  <si>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</si>
  <si>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</si>
  <si>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</si>
  <si>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</si>
  <si>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</si>
  <si>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</si>
  <si>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</si>
  <si>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</si>
  <si>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</si>
  <si>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</si>
  <si>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</si>
  <si>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</si>
  <si>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</si>
  <si>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</si>
  <si>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</si>
  <si>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</si>
  <si>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</si>
  <si>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</si>
  <si>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</si>
  <si>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</si>
  <si>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</si>
  <si>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</si>
  <si>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</si>
  <si>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</si>
  <si>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</si>
  <si>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</si>
  <si>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</si>
  <si>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</si>
  <si>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</si>
  <si>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</si>
  <si>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</si>
  <si>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</si>
  <si>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</si>
  <si>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</si>
  <si>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</si>
  <si>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</si>
  <si>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</si>
  <si>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</si>
  <si>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</si>
  <si>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</si>
  <si>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</si>
  <si>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</si>
  <si>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</si>
  <si>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</si>
  <si>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</si>
  <si>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</si>
  <si>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</si>
  <si>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</si>
  <si>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</si>
  <si>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</si>
  <si>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</si>
  <si>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</si>
  <si>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</si>
  <si>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</si>
  <si>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</si>
  <si>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</si>
  <si>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</si>
  <si>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</si>
  <si>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</si>
  <si>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</si>
  <si>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</si>
  <si>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</si>
  <si>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</si>
  <si>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</si>
  <si>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</si>
  <si>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</si>
  <si>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</si>
  <si>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</si>
  <si>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</si>
  <si>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</si>
  <si>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</si>
  <si>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</si>
  <si>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</si>
  <si>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</si>
  <si>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</si>
  <si>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</si>
  <si>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</si>
  <si>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</si>
  <si>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</si>
  <si>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</si>
  <si>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</si>
  <si>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</si>
  <si>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</si>
  <si>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</si>
  <si>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</si>
  <si>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</si>
  <si>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</si>
  <si>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</si>
  <si>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</si>
  <si>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</si>
  <si>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</si>
  <si>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</si>
  <si>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</si>
  <si>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</si>
  <si>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</si>
  <si>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</si>
  <si>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</si>
  <si>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</si>
  <si>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</si>
  <si>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</si>
  <si>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</si>
  <si>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</si>
  <si>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</si>
  <si>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</si>
  <si>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</si>
  <si>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</si>
  <si>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</si>
  <si>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</si>
  <si>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</si>
  <si>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</si>
  <si>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</si>
  <si>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</si>
  <si>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</si>
  <si>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</si>
  <si>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</si>
  <si>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</si>
  <si>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</si>
  <si>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</si>
  <si>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</si>
  <si>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</si>
  <si>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</si>
  <si>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</si>
  <si>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</si>
  <si>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</si>
  <si>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</si>
  <si>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</si>
  <si>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</si>
  <si>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</si>
  <si>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</si>
  <si>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</si>
  <si>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</si>
  <si>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</si>
  <si>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</si>
  <si>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</si>
  <si>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</si>
  <si>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</si>
  <si>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</si>
  <si>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</si>
  <si>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</si>
  <si>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</si>
  <si>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</si>
  <si>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</si>
  <si>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</si>
  <si>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</si>
  <si>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</si>
  <si>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</si>
  <si>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</si>
  <si>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</si>
  <si>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</si>
  <si>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</si>
  <si>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</si>
  <si>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</si>
  <si>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</si>
  <si>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</si>
  <si>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</si>
  <si>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</si>
  <si>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</si>
  <si>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</si>
  <si>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</si>
  <si>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</si>
  <si>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</si>
  <si>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</si>
  <si>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</si>
  <si>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</si>
  <si>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</si>
  <si>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</si>
  <si>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</si>
  <si>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</si>
  <si>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</si>
  <si>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</si>
  <si>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</si>
  <si>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</si>
  <si>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</si>
  <si>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</si>
  <si>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</si>
  <si>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</si>
  <si>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</si>
  <si>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</si>
  <si>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</si>
  <si>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</si>
  <si>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</si>
  <si>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</si>
  <si>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</si>
  <si>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</si>
  <si>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</si>
  <si>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</si>
  <si>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</si>
  <si>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</si>
  <si>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</si>
  <si>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</si>
  <si>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</si>
  <si>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</si>
  <si>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</si>
  <si>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</si>
  <si>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</si>
  <si>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</si>
  <si>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</si>
  <si>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</si>
  <si>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</si>
  <si>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</si>
  <si>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</si>
  <si>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</si>
  <si>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</si>
  <si>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</si>
  <si>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</si>
  <si>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</si>
  <si>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</si>
  <si>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</si>
  <si>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</si>
  <si>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</si>
  <si>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</si>
  <si>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</si>
  <si>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</si>
  <si>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</si>
  <si>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</si>
  <si>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</si>
  <si>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</si>
  <si>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</si>
  <si>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</si>
  <si>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</si>
  <si>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</si>
  <si>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</si>
  <si>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</si>
  <si>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</si>
  <si>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</si>
  <si>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</si>
  <si>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</si>
  <si>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</si>
  <si>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</si>
  <si>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</si>
  <si>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</si>
  <si>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</si>
  <si>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</si>
  <si>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</si>
  <si>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</si>
  <si>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</si>
  <si>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</si>
  <si>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</si>
  <si>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</si>
  <si>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</si>
  <si>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</si>
  <si>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</si>
  <si>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</si>
  <si>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</si>
  <si>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</si>
  <si>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</si>
  <si>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</si>
  <si>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</si>
  <si>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</si>
  <si>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</si>
  <si>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</si>
  <si>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</si>
  <si>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</si>
  <si>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</si>
  <si>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</si>
  <si>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</si>
  <si>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</si>
  <si>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</si>
  <si>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</si>
  <si>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</si>
  <si>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</si>
  <si>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</si>
  <si>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</si>
  <si>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</si>
  <si>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</si>
  <si>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</si>
  <si>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</si>
  <si>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</si>
  <si>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</si>
  <si>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</si>
  <si>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</si>
  <si>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</si>
  <si>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</si>
  <si>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</si>
  <si>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</si>
  <si>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</si>
  <si>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</si>
  <si>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</si>
  <si>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</si>
  <si>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</si>
  <si>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</si>
  <si>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</si>
  <si>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</si>
  <si>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</si>
  <si>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</si>
  <si>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</si>
  <si>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</si>
  <si>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</si>
  <si>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</si>
  <si>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</si>
  <si>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</si>
  <si>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</si>
  <si>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</si>
  <si>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</si>
  <si>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</si>
  <si>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</si>
  <si>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</si>
  <si>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</si>
  <si>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</si>
  <si>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</si>
  <si>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</si>
  <si>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</si>
  <si>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</si>
  <si>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</si>
  <si>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</si>
  <si>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</si>
  <si>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</si>
  <si>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</si>
  <si>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</si>
  <si>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</si>
  <si>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</si>
  <si>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</si>
  <si>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</si>
  <si>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</si>
  <si>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</si>
  <si>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</si>
  <si>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</si>
  <si>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</si>
  <si>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</si>
  <si>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</si>
  <si>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</si>
  <si>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</si>
  <si>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</si>
  <si>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</si>
  <si>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</si>
  <si>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</si>
  <si>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</si>
  <si>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</si>
  <si>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</si>
  <si>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</si>
  <si>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</si>
  <si>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</si>
  <si>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</si>
  <si>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</si>
  <si>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</si>
  <si>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</si>
  <si>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</si>
  <si>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</si>
  <si>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</si>
  <si>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</si>
  <si>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</si>
  <si>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</si>
  <si>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</si>
  <si>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</si>
  <si>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</si>
  <si>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</si>
  <si>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</si>
  <si>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</si>
  <si>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</si>
  <si>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</si>
  <si>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</si>
  <si>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</si>
  <si>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</si>
  <si>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</si>
  <si>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</si>
  <si>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</si>
  <si>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</si>
  <si>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</si>
  <si>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</si>
  <si>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</si>
  <si>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</si>
  <si>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</si>
  <si>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</si>
  <si>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</si>
  <si>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</si>
  <si>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</si>
  <si>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</si>
  <si>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</si>
  <si>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</si>
  <si>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</si>
  <si>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</si>
  <si>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</si>
  <si>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</si>
  <si>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</si>
  <si>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</si>
  <si>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</si>
  <si>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</si>
  <si>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</si>
  <si>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</si>
  <si>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</si>
  <si>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</si>
  <si>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</si>
  <si>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</si>
  <si>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</si>
  <si>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</si>
  <si>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</si>
  <si>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</si>
  <si>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</si>
  <si>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</si>
  <si>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</si>
  <si>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</si>
  <si>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</si>
  <si>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</si>
  <si>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</si>
  <si>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</si>
  <si>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</si>
  <si>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</si>
  <si>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</si>
  <si>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</si>
  <si>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</si>
  <si>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</si>
  <si>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</si>
  <si>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</si>
  <si>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</si>
  <si>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</si>
  <si>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</si>
  <si>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</si>
  <si>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</si>
  <si>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</si>
  <si>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</si>
  <si>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</si>
  <si>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</si>
  <si>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</si>
  <si>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</si>
  <si>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</si>
  <si>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</si>
  <si>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</si>
  <si>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</si>
  <si>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</si>
  <si>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</si>
  <si>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</si>
  <si>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</si>
  <si>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</si>
  <si>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</si>
  <si>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</si>
  <si>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</si>
  <si>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</si>
  <si>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</si>
  <si>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</si>
  <si>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</si>
  <si>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</si>
  <si>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</si>
  <si>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</si>
  <si>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</si>
  <si>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</si>
  <si>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</si>
  <si>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</si>
  <si>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</si>
  <si>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</si>
  <si>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</si>
  <si>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</si>
  <si>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</si>
  <si>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</si>
  <si>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</si>
  <si>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</si>
  <si>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</si>
  <si>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</si>
  <si>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</si>
  <si>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</si>
  <si>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</si>
  <si>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</si>
  <si>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</si>
  <si>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</si>
  <si>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</si>
  <si>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</si>
  <si>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</si>
  <si>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</si>
  <si>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</si>
  <si>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</si>
  <si>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</si>
  <si>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</si>
  <si>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</si>
  <si>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</si>
  <si>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</si>
  <si>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</si>
  <si>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</si>
  <si>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</si>
  <si>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</si>
  <si>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</si>
  <si>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</si>
  <si>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</si>
  <si>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</si>
  <si>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</si>
  <si>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</si>
  <si>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</si>
  <si>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</si>
  <si>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</si>
  <si>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</si>
  <si>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</si>
  <si>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</si>
  <si>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</si>
  <si>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</si>
  <si>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</si>
  <si>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</si>
  <si>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</si>
  <si>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</si>
  <si>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</si>
  <si>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</si>
  <si>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</si>
  <si>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</si>
  <si>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</si>
  <si>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</si>
  <si>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</si>
  <si>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</si>
  <si>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</si>
  <si>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</si>
  <si>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</si>
  <si>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</si>
  <si>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</si>
  <si>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</si>
  <si>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</si>
  <si>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</si>
  <si>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</si>
  <si>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</si>
  <si>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</si>
  <si>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</si>
  <si>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</si>
  <si>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</si>
  <si>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</si>
  <si>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</si>
  <si>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</si>
  <si>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</si>
  <si>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</si>
  <si>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</si>
  <si>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</si>
  <si>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</si>
  <si>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</si>
  <si>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</si>
  <si>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</si>
  <si>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</si>
  <si>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</si>
  <si>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</si>
  <si>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</si>
  <si>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</si>
  <si>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</si>
  <si>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</si>
  <si>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</si>
  <si>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</si>
  <si>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</si>
  <si>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</si>
  <si>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</si>
  <si>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</si>
  <si>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</si>
  <si>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</si>
  <si>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</si>
  <si>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</si>
  <si>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</si>
  <si>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</si>
  <si>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</si>
  <si>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</si>
  <si>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</si>
  <si>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</si>
  <si>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</si>
  <si>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</si>
  <si>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</si>
  <si>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</si>
  <si>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</si>
  <si>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</si>
  <si>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</si>
  <si>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</si>
  <si>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</si>
  <si>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</si>
  <si>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</si>
  <si>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</si>
  <si>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</si>
  <si>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</si>
  <si>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</si>
  <si>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</si>
  <si>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</si>
  <si>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</si>
  <si>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</si>
  <si>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</si>
  <si>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</si>
  <si>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</si>
  <si>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</si>
  <si>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</si>
  <si>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</si>
  <si>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</si>
  <si>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</si>
  <si>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</si>
  <si>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</si>
  <si>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</si>
  <si>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</si>
  <si>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</si>
  <si>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</si>
  <si>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</si>
  <si>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</si>
  <si>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</si>
  <si>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</si>
  <si>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</si>
  <si>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</si>
  <si>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</si>
  <si>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</si>
  <si>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</si>
  <si>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</si>
  <si>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</si>
  <si>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</si>
  <si>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</si>
  <si>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</si>
  <si>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</si>
  <si>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</si>
  <si>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</si>
  <si>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</si>
  <si>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</si>
  <si>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</si>
  <si>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</si>
  <si>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</si>
  <si>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</si>
  <si>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</si>
  <si>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</si>
  <si>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</si>
  <si>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</si>
  <si>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</si>
  <si>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</si>
  <si>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</si>
  <si>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</si>
  <si>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</si>
  <si>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</si>
  <si>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</si>
  <si>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</si>
  <si>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</si>
  <si>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</si>
  <si>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</si>
  <si>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</si>
  <si>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</si>
  <si>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</si>
  <si>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</si>
  <si>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</si>
  <si>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</si>
  <si>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</si>
  <si>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</si>
  <si>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</si>
  <si>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</si>
  <si>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</si>
  <si>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</si>
  <si>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</si>
  <si>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</si>
  <si>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</si>
  <si>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</si>
  <si>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</si>
  <si>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</si>
  <si>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</si>
  <si>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</si>
  <si>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</si>
  <si>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</si>
  <si>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</si>
  <si>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</si>
  <si>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</si>
  <si>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</si>
  <si>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</si>
  <si>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</si>
  <si>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</si>
  <si>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</si>
  <si>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</si>
  <si>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</si>
  <si>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</si>
  <si>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</si>
  <si>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</si>
  <si>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</si>
  <si>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</si>
  <si>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</si>
  <si>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</si>
  <si>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</si>
  <si>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</si>
  <si>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</si>
  <si>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</si>
  <si>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</si>
  <si>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</si>
  <si>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</si>
  <si>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</si>
  <si>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</si>
  <si>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</si>
  <si>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</si>
  <si>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</si>
  <si>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</si>
  <si>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</si>
  <si>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</si>
  <si>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</si>
  <si>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</si>
  <si>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</si>
  <si>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</si>
  <si>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</si>
  <si>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</si>
  <si>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</si>
  <si>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</si>
  <si>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</si>
  <si>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</si>
  <si>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</si>
  <si>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</si>
  <si>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</si>
  <si>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</si>
  <si>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</si>
  <si>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</si>
  <si>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</si>
  <si>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</si>
  <si>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</si>
  <si>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</si>
  <si>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</si>
  <si>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</si>
  <si>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</si>
  <si>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</si>
  <si>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</si>
  <si>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</si>
  <si>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</si>
  <si>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</si>
  <si>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</si>
  <si>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</si>
  <si>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</si>
  <si>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</si>
  <si>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</si>
  <si>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</si>
  <si>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</si>
  <si>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</si>
  <si>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</si>
  <si>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</si>
  <si>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</si>
  <si>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</si>
  <si>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</si>
  <si>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</si>
  <si>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</si>
  <si>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</si>
  <si>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</si>
  <si>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</si>
  <si>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</si>
  <si>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</si>
  <si>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</si>
  <si>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</si>
  <si>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</si>
  <si>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</si>
  <si>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</si>
  <si>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</si>
  <si>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</si>
  <si>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</si>
  <si>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</si>
  <si>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</si>
  <si>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</si>
  <si>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</si>
  <si>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</si>
  <si>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</si>
  <si>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</si>
  <si>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</si>
  <si>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</si>
  <si>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</si>
  <si>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</si>
  <si>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</si>
  <si>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</si>
  <si>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</si>
  <si>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</si>
  <si>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</si>
  <si>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</si>
  <si>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</si>
  <si>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</si>
  <si>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</si>
  <si>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</si>
  <si>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</si>
  <si>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</si>
  <si>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</si>
  <si>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</si>
  <si>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</si>
  <si>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</si>
  <si>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</si>
  <si>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</si>
  <si>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</si>
  <si>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</si>
  <si>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</si>
  <si>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</si>
  <si>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</si>
  <si>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</si>
  <si>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</si>
  <si>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</si>
  <si>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</si>
  <si>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</si>
  <si>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</si>
  <si>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</si>
  <si>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</si>
  <si>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</si>
  <si>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</si>
  <si>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</si>
  <si>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</si>
  <si>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</si>
  <si>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</si>
  <si>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</si>
  <si>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</si>
  <si>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</si>
  <si>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</si>
  <si>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</si>
  <si>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</si>
  <si>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</si>
  <si>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</si>
  <si>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</si>
  <si>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</si>
  <si>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</si>
  <si>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</si>
  <si>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</si>
  <si>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</si>
  <si>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</si>
  <si>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</si>
  <si>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</si>
  <si>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</si>
  <si>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</si>
  <si>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</si>
  <si>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</si>
  <si>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</si>
  <si>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</si>
  <si>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</si>
  <si>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</si>
  <si>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</si>
  <si>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</si>
  <si>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</si>
  <si>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</si>
  <si>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</si>
  <si>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</si>
  <si>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</si>
  <si>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</si>
  <si>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</si>
  <si>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</si>
  <si>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</si>
  <si>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</si>
  <si>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</si>
  <si>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</si>
  <si>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</si>
  <si>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</si>
  <si>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</si>
  <si>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</si>
  <si>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</si>
  <si>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</si>
  <si>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</si>
  <si>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</si>
  <si>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</si>
  <si>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</si>
  <si>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</si>
  <si>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</si>
  <si>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</si>
  <si>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</si>
  <si>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</si>
  <si>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</si>
  <si>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</si>
  <si>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</si>
  <si>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</si>
  <si>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</si>
  <si>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</si>
  <si>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</si>
  <si>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</si>
  <si>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</si>
  <si>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</si>
  <si>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</si>
  <si>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</si>
  <si>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</si>
  <si>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</si>
  <si>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</si>
  <si>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</si>
  <si>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</si>
  <si>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</si>
  <si>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</si>
  <si>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</si>
  <si>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</si>
  <si>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</si>
  <si>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</si>
  <si>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</si>
  <si>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</si>
  <si>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</si>
  <si>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</si>
  <si>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</si>
  <si>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</si>
  <si>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</si>
  <si>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</si>
  <si>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</si>
  <si>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</si>
  <si>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</si>
  <si>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</si>
  <si>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</si>
  <si>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</si>
  <si>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</si>
  <si>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</si>
  <si>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</si>
  <si>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</si>
  <si>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</si>
  <si>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</si>
  <si>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</si>
  <si>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</si>
  <si>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</si>
  <si>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</si>
  <si>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</si>
  <si>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</si>
  <si>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</si>
  <si>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</si>
  <si>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</si>
  <si>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</si>
  <si>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</si>
  <si>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</si>
  <si>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</si>
  <si>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</si>
  <si>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</si>
  <si>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</si>
  <si>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</si>
  <si>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</si>
  <si>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</si>
  <si>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</si>
  <si>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</si>
  <si>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</si>
  <si>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</si>
  <si>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</si>
  <si>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</si>
  <si>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</si>
  <si>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</si>
  <si>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</si>
  <si>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</si>
  <si>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</si>
  <si>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</si>
  <si>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</si>
  <si>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</si>
  <si>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</si>
  <si>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</si>
  <si>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</si>
  <si>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</si>
  <si>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</si>
  <si>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</si>
  <si>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</si>
  <si>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</si>
  <si>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</si>
  <si>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</si>
  <si>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</si>
  <si>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</si>
  <si>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</si>
  <si>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</si>
  <si>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</si>
  <si>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</si>
  <si>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</si>
  <si>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</si>
  <si>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</si>
  <si>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</si>
  <si>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</si>
  <si>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</si>
  <si>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</si>
  <si>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</si>
  <si>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</si>
  <si>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</si>
  <si>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</si>
  <si>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</si>
  <si>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</si>
  <si>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</si>
  <si>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</si>
  <si>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</si>
  <si>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</si>
  <si>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</si>
  <si>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</si>
  <si>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</si>
  <si>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</si>
  <si>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</si>
  <si>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</si>
  <si>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</si>
  <si>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</si>
  <si>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</si>
  <si>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</si>
  <si>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</si>
  <si>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</si>
  <si>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</si>
  <si>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</si>
  <si>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</si>
  <si>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</si>
  <si>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</si>
  <si>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</si>
  <si>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</si>
  <si>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</si>
  <si>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</si>
  <si>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</si>
  <si>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</si>
  <si>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</si>
  <si>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</si>
  <si>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</si>
  <si>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</si>
  <si>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</si>
  <si>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</si>
  <si>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</si>
  <si>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</si>
  <si>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</si>
  <si>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</si>
  <si>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</si>
  <si>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</si>
  <si>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</si>
  <si>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</si>
  <si>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</si>
  <si>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</si>
  <si>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</si>
  <si>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</si>
  <si>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</si>
  <si>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</si>
  <si>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</si>
  <si>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</si>
  <si>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</si>
  <si>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</si>
  <si>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</si>
  <si>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</si>
  <si>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</si>
  <si>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</si>
  <si>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</si>
  <si>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</si>
  <si>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</si>
  <si>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</si>
  <si>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</si>
  <si>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</si>
  <si>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</si>
  <si>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</si>
  <si>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</si>
  <si>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</si>
  <si>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</si>
  <si>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</si>
  <si>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</si>
  <si>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</si>
  <si>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</si>
  <si>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</si>
  <si>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</si>
  <si>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</si>
  <si>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</si>
  <si>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</si>
  <si>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</si>
  <si>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</si>
  <si>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</si>
  <si>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</si>
  <si>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</si>
  <si>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</si>
  <si>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</si>
  <si>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</si>
  <si>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</si>
  <si>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</si>
  <si>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</si>
  <si>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</si>
  <si>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</si>
  <si>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</si>
  <si>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</si>
  <si>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</si>
  <si>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</si>
  <si>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</si>
  <si>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</si>
  <si>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</si>
  <si>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</si>
  <si>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</si>
  <si>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</si>
  <si>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</si>
  <si>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</si>
  <si>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</si>
  <si>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</si>
  <si>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</si>
  <si>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</si>
  <si>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</si>
  <si>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</si>
  <si>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</si>
  <si>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</si>
  <si>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</si>
  <si>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</si>
  <si>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</si>
  <si>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</si>
  <si>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</si>
  <si>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</si>
  <si>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</si>
  <si>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</si>
  <si>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</si>
  <si>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</si>
  <si>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</si>
  <si>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</si>
  <si>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</si>
  <si>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</si>
  <si>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</si>
  <si>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</si>
  <si>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</si>
  <si>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</si>
  <si>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</si>
  <si>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</si>
  <si>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</si>
  <si>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</si>
  <si>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</si>
  <si>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</si>
  <si>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</si>
  <si>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</si>
  <si>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</si>
  <si>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</si>
  <si>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</si>
  <si>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</si>
  <si>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</si>
  <si>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</si>
  <si>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</si>
  <si>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</si>
  <si>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</si>
  <si>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</si>
  <si>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</si>
  <si>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</si>
  <si>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</si>
  <si>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</si>
  <si>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</si>
  <si>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</si>
  <si>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</si>
  <si>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</si>
  <si>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</si>
  <si>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</si>
  <si>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</si>
  <si>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</si>
  <si>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</si>
  <si>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</si>
  <si>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</si>
  <si>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</si>
  <si>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</si>
  <si>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</si>
  <si>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</si>
  <si>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</si>
  <si>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</si>
  <si>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</si>
  <si>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</si>
  <si>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</si>
  <si>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</si>
  <si>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</si>
  <si>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</si>
  <si>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</si>
  <si>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</si>
  <si>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</si>
  <si>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</si>
  <si>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</si>
  <si>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</si>
  <si>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</si>
  <si>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</si>
  <si>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</si>
  <si>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</si>
  <si>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</si>
  <si>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</si>
  <si>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</si>
  <si>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</si>
  <si>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</si>
  <si>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</si>
  <si>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</si>
  <si>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</si>
  <si>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</si>
  <si>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</si>
  <si>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</si>
  <si>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</si>
  <si>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</si>
  <si>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</si>
  <si>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</si>
  <si>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</si>
  <si>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</si>
  <si>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</si>
  <si>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</si>
  <si>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</si>
  <si>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</si>
  <si>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</si>
  <si>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</si>
  <si>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</si>
  <si>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</si>
  <si>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</si>
  <si>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</si>
  <si>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</si>
  <si>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</si>
  <si>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</si>
  <si>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</si>
  <si>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</si>
  <si>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</si>
  <si>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</si>
  <si>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</si>
  <si>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</si>
  <si>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</si>
  <si>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</si>
  <si>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</si>
  <si>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</si>
  <si>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</si>
  <si>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</si>
  <si>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</si>
  <si>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</si>
  <si>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</si>
  <si>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</si>
  <si>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</si>
  <si>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</si>
  <si>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</si>
  <si>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</si>
  <si>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</si>
  <si>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</si>
  <si>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</si>
  <si>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</si>
  <si>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</si>
  <si>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</si>
  <si>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</si>
  <si>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</si>
  <si>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</si>
  <si>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</si>
  <si>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</si>
  <si>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</si>
  <si>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</si>
  <si>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</si>
  <si>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</si>
  <si>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</si>
  <si>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</si>
  <si>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</si>
  <si>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</si>
  <si>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</si>
  <si>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</si>
  <si>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</si>
  <si>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</si>
  <si>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</si>
  <si>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</si>
  <si>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</si>
  <si>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</si>
  <si>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</si>
  <si>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</si>
  <si>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</si>
  <si>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</si>
  <si>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</si>
  <si>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</si>
  <si>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</si>
  <si>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</si>
  <si>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</si>
  <si>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</si>
  <si>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</si>
  <si>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</si>
  <si>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</si>
  <si>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</si>
  <si>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</si>
  <si>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</si>
  <si>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</si>
  <si>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</si>
  <si>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</si>
  <si>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</si>
  <si>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</si>
  <si>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</si>
  <si>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</si>
  <si>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</si>
  <si>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</si>
  <si>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</si>
  <si>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</si>
  <si>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</si>
  <si>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</si>
  <si>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</si>
  <si>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</si>
  <si>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</si>
  <si>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</si>
  <si>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</si>
  <si>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</si>
  <si>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</si>
  <si>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</si>
  <si>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</si>
  <si>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</si>
  <si>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</si>
  <si>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</si>
  <si>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</si>
  <si>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</si>
  <si>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</si>
  <si>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</si>
  <si>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</si>
  <si>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</si>
  <si>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</si>
  <si>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</si>
  <si>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</si>
  <si>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</si>
  <si>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</si>
  <si>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</si>
  <si>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</si>
  <si>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</si>
  <si>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</si>
  <si>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</si>
  <si>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</si>
  <si>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</si>
  <si>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</si>
  <si>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</si>
  <si>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</si>
  <si>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</si>
  <si>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</si>
  <si>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</si>
  <si>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</si>
  <si>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</si>
  <si>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</si>
  <si>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</si>
  <si>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</si>
  <si>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</si>
  <si>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</si>
  <si>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</si>
  <si>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</si>
  <si>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</si>
  <si>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</si>
  <si>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</si>
  <si>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</si>
  <si>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</si>
  <si>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</si>
  <si>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</si>
  <si>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</si>
  <si>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</si>
  <si>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</si>
  <si>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</si>
  <si>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</si>
  <si>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</si>
  <si>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</si>
  <si>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</si>
  <si>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</si>
  <si>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</si>
  <si>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</si>
  <si>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</si>
  <si>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</si>
  <si>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</si>
  <si>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</si>
  <si>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</si>
  <si>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</si>
  <si>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</si>
  <si>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</si>
  <si>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</si>
  <si>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</si>
  <si>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</si>
  <si>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</si>
  <si>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</si>
  <si>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</si>
  <si>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</si>
  <si>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</si>
  <si>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</si>
  <si>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</si>
  <si>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</si>
  <si>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</si>
  <si>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</si>
  <si>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</si>
  <si>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</si>
  <si>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</si>
  <si>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</si>
  <si>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</si>
  <si>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</si>
  <si>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</si>
  <si>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</si>
  <si>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</si>
  <si>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</si>
  <si>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</si>
  <si>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</si>
  <si>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</si>
  <si>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</si>
  <si>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</si>
  <si>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</si>
  <si>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</si>
  <si>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</si>
  <si>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</si>
  <si>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</si>
  <si>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</si>
  <si>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</si>
  <si>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</si>
  <si>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</si>
  <si>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</si>
  <si>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</si>
  <si>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</si>
  <si>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</si>
  <si>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</si>
  <si>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</si>
  <si>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</si>
  <si>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</si>
  <si>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</si>
  <si>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</si>
  <si>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</si>
  <si>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</si>
  <si>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</si>
  <si>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</si>
  <si>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</si>
  <si>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</si>
  <si>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</si>
  <si>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</si>
  <si>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</si>
  <si>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</si>
  <si>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</si>
  <si>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</si>
  <si>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</si>
  <si>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</si>
  <si>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</si>
  <si>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</si>
  <si>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</si>
  <si>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</si>
  <si>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</si>
  <si>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</si>
  <si>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</si>
  <si>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</si>
  <si>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</si>
  <si>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</si>
  <si>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</si>
  <si>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</si>
  <si>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</si>
  <si>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</si>
  <si>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</si>
  <si>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</si>
  <si>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</si>
  <si>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</si>
  <si>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</si>
  <si>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</si>
  <si>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</si>
  <si>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</si>
  <si>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</si>
  <si>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</si>
  <si>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</si>
  <si>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</si>
  <si>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</si>
  <si>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</si>
  <si>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</si>
  <si>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</si>
  <si>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</si>
  <si>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</si>
  <si>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</si>
  <si>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</si>
  <si>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</si>
  <si>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</si>
  <si>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</si>
  <si>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</si>
  <si>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</si>
  <si>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</si>
  <si>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</si>
  <si>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</si>
  <si>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</si>
  <si>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</si>
  <si>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</si>
  <si>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</si>
  <si>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</si>
  <si>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</si>
  <si>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</si>
  <si>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</si>
  <si>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</si>
  <si>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</si>
  <si>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</si>
  <si>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</si>
  <si>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</si>
  <si>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</si>
  <si>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</si>
  <si>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</si>
  <si>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</si>
  <si>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</si>
  <si>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</si>
  <si>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</si>
  <si>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</si>
  <si>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</si>
  <si>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</si>
  <si>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</si>
  <si>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</si>
  <si>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</si>
  <si>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</si>
  <si>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</si>
  <si>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</si>
  <si>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</si>
  <si>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</si>
  <si>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</si>
  <si>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</si>
  <si>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</si>
  <si>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</si>
  <si>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</si>
  <si>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</si>
  <si>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</si>
  <si>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</si>
  <si>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</si>
  <si>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</si>
  <si>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</si>
  <si>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</si>
  <si>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</si>
  <si>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</si>
  <si>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</si>
  <si>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</si>
  <si>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</si>
  <si>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</si>
  <si>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</si>
  <si>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</si>
  <si>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</si>
  <si>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</si>
  <si>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</si>
  <si>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</si>
  <si>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</si>
  <si>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</si>
  <si>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</si>
  <si>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</si>
  <si>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</si>
  <si>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</si>
  <si>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</si>
  <si>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</si>
  <si>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</si>
  <si>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</si>
  <si>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</si>
  <si>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</si>
  <si>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</si>
  <si>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</si>
  <si>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</si>
  <si>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</si>
  <si>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</si>
  <si>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</si>
  <si>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</si>
  <si>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</si>
  <si>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</si>
  <si>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</si>
  <si>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</si>
  <si>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</si>
  <si>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</si>
  <si>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</si>
  <si>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</si>
  <si>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</si>
  <si>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</si>
  <si>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</si>
  <si>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</si>
  <si>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</si>
  <si>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</si>
  <si>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</si>
  <si>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</si>
  <si>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</si>
  <si>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</si>
  <si>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</si>
  <si>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</si>
  <si>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</si>
  <si>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</si>
  <si>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</si>
  <si>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</si>
  <si>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</si>
  <si>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</si>
  <si>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</si>
  <si>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</si>
  <si>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</si>
  <si>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</si>
  <si>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</si>
  <si>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</si>
  <si>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</si>
  <si>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</si>
  <si>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</si>
  <si>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</si>
  <si>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</si>
  <si>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</si>
  <si>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</si>
  <si>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</si>
  <si>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</si>
  <si>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</si>
  <si>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</si>
  <si>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</si>
  <si>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</si>
  <si>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</si>
  <si>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</si>
  <si>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</si>
  <si>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</si>
  <si>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</si>
  <si>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</si>
  <si>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</si>
  <si>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</si>
  <si>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</si>
  <si>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</si>
  <si>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</si>
  <si>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</si>
  <si>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</si>
  <si>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</si>
  <si>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</si>
  <si>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</si>
  <si>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</si>
  <si>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</si>
  <si>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</si>
  <si>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</si>
  <si>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</si>
  <si>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</si>
  <si>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</si>
  <si>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</si>
  <si>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</si>
  <si>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</si>
  <si>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</si>
  <si>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</si>
  <si>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</si>
  <si>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</si>
  <si>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</si>
  <si>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</si>
  <si>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</si>
  <si>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</si>
  <si>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</si>
  <si>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</si>
  <si>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</si>
  <si>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</si>
  <si>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</si>
  <si>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</si>
  <si>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</si>
  <si>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</si>
  <si>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</si>
  <si>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</si>
  <si>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</si>
  <si>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</si>
  <si>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</si>
  <si>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</si>
  <si>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</si>
  <si>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</si>
  <si>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</si>
  <si>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</si>
  <si>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</si>
  <si>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</si>
  <si>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</si>
  <si>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</si>
  <si>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</si>
  <si>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</si>
  <si>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</si>
  <si>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</si>
  <si>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</si>
  <si>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</si>
  <si>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</si>
  <si>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</si>
  <si>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</si>
  <si>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</si>
  <si>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</si>
  <si>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</si>
  <si>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</si>
  <si>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</si>
  <si>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</si>
  <si>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</si>
  <si>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</si>
  <si>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</si>
  <si>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</si>
  <si>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</si>
  <si>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</si>
  <si>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</si>
  <si>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</si>
  <si>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</si>
  <si>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</si>
  <si>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</si>
  <si>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</si>
  <si>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</si>
  <si>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</si>
  <si>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</si>
  <si>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</si>
  <si>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</si>
  <si>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</si>
  <si>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</si>
  <si>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</si>
  <si>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</si>
  <si>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</si>
  <si>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</si>
  <si>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</si>
  <si>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</si>
  <si>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</si>
  <si>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</si>
  <si>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</si>
  <si>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</si>
  <si>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</si>
  <si>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</si>
  <si>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</si>
  <si>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</si>
  <si>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</si>
  <si>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</si>
  <si>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</si>
  <si>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</si>
  <si>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</si>
  <si>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</si>
  <si>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</si>
  <si>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</si>
  <si>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</si>
  <si>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</si>
  <si>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</si>
  <si>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</si>
  <si>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</si>
  <si>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</si>
  <si>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</si>
  <si>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</si>
  <si>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</si>
  <si>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</si>
  <si>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</si>
  <si>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</si>
  <si>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</si>
  <si>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</si>
  <si>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</si>
  <si>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</si>
  <si>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</si>
  <si>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</si>
  <si>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</si>
  <si>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</si>
  <si>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</si>
  <si>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</si>
  <si>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</si>
  <si>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</si>
  <si>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</si>
  <si>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</si>
  <si>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</si>
  <si>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</si>
  <si>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</si>
  <si>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</si>
  <si>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</si>
  <si>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</si>
  <si>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</si>
  <si>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</si>
  <si>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</si>
  <si>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</si>
  <si>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</si>
  <si>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</si>
  <si>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</si>
  <si>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</si>
  <si>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</si>
  <si>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</si>
  <si>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</si>
  <si>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</si>
  <si>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</si>
  <si>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</si>
  <si>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</si>
  <si>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</si>
  <si>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</si>
  <si>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</si>
  <si>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</si>
  <si>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</si>
  <si>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</si>
  <si>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</si>
  <si>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</si>
  <si>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</si>
  <si>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</si>
  <si>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</si>
  <si>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</si>
  <si>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</si>
  <si>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</si>
  <si>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</si>
  <si>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</si>
  <si>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</si>
  <si>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</si>
  <si>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</si>
  <si>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</si>
  <si>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</si>
  <si>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</si>
  <si>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</si>
  <si>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</si>
  <si>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</si>
  <si>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</si>
  <si>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</si>
  <si>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</si>
  <si>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</si>
  <si>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</si>
  <si>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</si>
  <si>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</si>
  <si>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</si>
  <si>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</si>
  <si>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</si>
  <si>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</si>
  <si>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</si>
  <si>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</si>
  <si>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</si>
  <si>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</si>
  <si>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</si>
  <si>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</si>
  <si>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</si>
  <si>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</si>
  <si>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</si>
  <si>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</si>
  <si>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</si>
  <si>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</si>
  <si>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</si>
  <si>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</si>
  <si>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</si>
  <si>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</si>
  <si>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</si>
  <si>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</si>
  <si>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</si>
  <si>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</si>
  <si>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</si>
  <si>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</si>
  <si>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</si>
  <si>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</si>
  <si>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</si>
  <si>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</si>
  <si>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</si>
  <si>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</si>
  <si>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</si>
  <si>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</si>
  <si>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</si>
  <si>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</si>
  <si>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</si>
  <si>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</si>
  <si>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</si>
  <si>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</si>
  <si>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</si>
  <si>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</si>
  <si>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</si>
  <si>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</si>
  <si>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</si>
  <si>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</si>
  <si>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</si>
  <si>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</si>
  <si>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</si>
  <si>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</si>
  <si>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</si>
  <si>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</si>
  <si>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</si>
  <si>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</si>
  <si>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</si>
  <si>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</si>
  <si>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</si>
  <si>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</si>
  <si>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</si>
  <si>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</si>
  <si>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</si>
  <si>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</si>
  <si>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</si>
  <si>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</si>
  <si>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</si>
  <si>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</si>
  <si>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</si>
  <si>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</si>
  <si>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</si>
  <si>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</si>
  <si>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</si>
  <si>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</si>
  <si>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</si>
  <si>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</si>
  <si>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</si>
  <si>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</si>
  <si>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</si>
  <si>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</si>
  <si>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</si>
  <si>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</si>
  <si>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</si>
  <si>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</si>
  <si>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</si>
  <si>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</si>
  <si>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</si>
  <si>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</si>
  <si>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</si>
  <si>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</si>
  <si>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</si>
  <si>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</si>
  <si>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</si>
  <si>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</si>
  <si>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</si>
  <si>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</si>
  <si>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</si>
  <si>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</si>
  <si>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</si>
  <si>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</si>
  <si>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</si>
  <si>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</si>
  <si>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</si>
  <si>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</si>
  <si>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</si>
  <si>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</si>
  <si>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</si>
  <si>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</si>
  <si>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</si>
  <si>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</si>
  <si>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</si>
  <si>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</si>
  <si>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</si>
  <si>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</si>
  <si>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</si>
  <si>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</si>
  <si>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</si>
  <si>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</si>
  <si>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</si>
  <si>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</si>
  <si>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</si>
  <si>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</si>
  <si>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</si>
  <si>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</si>
  <si>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</si>
  <si>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</si>
  <si>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</si>
  <si>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</si>
  <si>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</si>
  <si>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</si>
  <si>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</si>
  <si>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</si>
  <si>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</si>
  <si>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</si>
  <si>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</si>
  <si>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</si>
  <si>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</si>
  <si>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</si>
  <si>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</si>
  <si>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</si>
  <si>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</si>
  <si>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</si>
  <si>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</si>
  <si>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</si>
  <si>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</si>
  <si>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</si>
  <si>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</si>
  <si>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</si>
  <si>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</si>
  <si>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</si>
  <si>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</si>
  <si>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</si>
  <si>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</si>
  <si>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</si>
  <si>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</si>
  <si>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</si>
  <si>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</si>
  <si>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</si>
  <si>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</si>
  <si>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</si>
  <si>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</si>
  <si>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</si>
  <si>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</si>
  <si>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</si>
  <si>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</si>
  <si>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</si>
  <si>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</si>
  <si>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</si>
  <si>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</si>
  <si>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</si>
  <si>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</si>
  <si>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</si>
  <si>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</si>
  <si>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</si>
  <si>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</si>
  <si>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</si>
  <si>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</si>
  <si>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</si>
  <si>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</si>
  <si>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</si>
  <si>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</si>
  <si>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</si>
  <si>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</si>
  <si>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</si>
  <si>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</si>
  <si>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</si>
  <si>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</si>
  <si>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</si>
  <si>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</si>
  <si>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</si>
  <si>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</si>
  <si>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</si>
  <si>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</si>
  <si>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</si>
  <si>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</si>
  <si>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</si>
  <si>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</si>
  <si>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</si>
  <si>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</si>
  <si>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</si>
  <si>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</si>
  <si>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</si>
  <si>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</si>
  <si>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</si>
  <si>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</si>
  <si>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</si>
  <si>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</si>
  <si>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</si>
  <si>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</si>
  <si>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</si>
  <si>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</si>
  <si>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</si>
  <si>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</si>
  <si>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</si>
  <si>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</si>
  <si>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</si>
  <si>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</si>
  <si>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</si>
  <si>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</si>
  <si>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</si>
  <si>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</si>
  <si>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</si>
  <si>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</si>
  <si>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</si>
  <si>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</si>
  <si>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</si>
  <si>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</si>
  <si>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</si>
  <si>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</si>
  <si>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</si>
  <si>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</si>
  <si>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</si>
  <si>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</si>
  <si>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</si>
  <si>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</si>
  <si>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</si>
  <si>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</si>
  <si>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</si>
  <si>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</si>
  <si>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</si>
  <si>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</si>
  <si>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</si>
  <si>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</si>
  <si>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</si>
  <si>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</si>
  <si>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</si>
  <si>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</si>
  <si>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</si>
  <si>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</si>
  <si>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</si>
  <si>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</si>
  <si>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</si>
  <si>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</si>
  <si>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</si>
  <si>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</si>
  <si>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</si>
  <si>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</si>
  <si>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</si>
  <si>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</si>
  <si>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</si>
  <si>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</si>
  <si>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</si>
  <si>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</si>
  <si>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</si>
  <si>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</si>
  <si>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</si>
  <si>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</si>
  <si>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</si>
  <si>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</si>
  <si>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</si>
  <si>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</si>
  <si>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</si>
  <si>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</si>
  <si>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</si>
  <si>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</si>
  <si>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</si>
  <si>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</si>
  <si>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</si>
  <si>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</si>
  <si>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</si>
  <si>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</si>
  <si>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</si>
  <si>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</si>
  <si>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</si>
  <si>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</si>
  <si>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</si>
  <si>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</si>
  <si>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</si>
  <si>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</si>
  <si>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</si>
  <si>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</si>
  <si>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</si>
  <si>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</si>
  <si>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</si>
  <si>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</si>
  <si>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</si>
  <si>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</si>
  <si>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</si>
  <si>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</si>
  <si>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</si>
  <si>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</si>
  <si>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</si>
  <si>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</si>
  <si>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</si>
  <si>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</si>
  <si>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</si>
  <si>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</si>
  <si>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</si>
  <si>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</si>
  <si>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</si>
  <si>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</si>
  <si>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</si>
  <si>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</si>
  <si>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</si>
  <si>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</si>
  <si>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</si>
  <si>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</si>
  <si>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</si>
  <si>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</si>
  <si>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</si>
  <si>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</si>
  <si>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</si>
  <si>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</si>
  <si>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</si>
  <si>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</si>
  <si>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</si>
  <si>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</si>
  <si>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</si>
  <si>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</si>
  <si>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</si>
  <si>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</si>
  <si>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</si>
  <si>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</si>
  <si>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</si>
  <si>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</si>
  <si>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</si>
  <si>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</si>
  <si>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</si>
  <si>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</si>
  <si>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</si>
  <si>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</si>
  <si>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</si>
  <si>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</si>
  <si>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</si>
  <si>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</si>
  <si>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</si>
  <si>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</si>
  <si>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</si>
  <si>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</si>
  <si>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</si>
  <si>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</si>
  <si>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</si>
  <si>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</si>
  <si>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</si>
  <si>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</si>
  <si>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</si>
  <si>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</si>
  <si>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</si>
  <si>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</si>
  <si>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</si>
  <si>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</si>
  <si>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</si>
  <si>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</si>
  <si>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</si>
  <si>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</si>
  <si>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</si>
  <si>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</si>
  <si>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</si>
  <si>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</si>
  <si>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</si>
  <si>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</si>
  <si>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</si>
  <si>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</si>
  <si>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</si>
  <si>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</si>
  <si>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</si>
  <si>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</si>
  <si>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</si>
  <si>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</si>
  <si>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</si>
  <si>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</si>
  <si>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</si>
  <si>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</si>
  <si>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</si>
  <si>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</si>
  <si>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</si>
  <si>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</si>
  <si>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</si>
  <si>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</si>
  <si>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</si>
  <si>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</si>
  <si>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</si>
  <si>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</si>
  <si>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</si>
  <si>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</si>
  <si>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</si>
  <si>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</si>
  <si>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</si>
  <si>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</si>
  <si>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</si>
  <si>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</si>
  <si>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</si>
  <si>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</si>
  <si>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</si>
  <si>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</si>
  <si>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</si>
  <si>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</si>
  <si>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</si>
  <si>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</si>
  <si>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</si>
  <si>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</si>
  <si>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</si>
  <si>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</si>
  <si>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</si>
  <si>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</si>
  <si>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</si>
  <si>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</si>
  <si>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</si>
  <si>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</si>
  <si>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</si>
  <si>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</si>
  <si>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</si>
  <si>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</si>
  <si>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</si>
  <si>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</si>
  <si>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</si>
  <si>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</si>
  <si>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</si>
  <si>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</si>
  <si>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</si>
  <si>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</si>
  <si>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</si>
  <si>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</si>
  <si>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</si>
  <si>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</si>
  <si>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</si>
  <si>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</si>
  <si>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</si>
  <si>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</si>
  <si>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</si>
  <si>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</si>
  <si>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</si>
  <si>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</si>
  <si>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</si>
  <si>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</si>
  <si>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</si>
  <si>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</si>
  <si>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</si>
  <si>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</si>
  <si>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</si>
  <si>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</si>
  <si>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</si>
  <si>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</si>
  <si>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</si>
  <si>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</si>
  <si>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</si>
  <si>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</si>
  <si>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</si>
  <si>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</si>
  <si>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</si>
  <si>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</si>
  <si>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</si>
  <si>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</si>
  <si>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</si>
  <si>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</si>
  <si>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</si>
  <si>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</si>
  <si>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</si>
  <si>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</si>
  <si>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</si>
  <si>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</si>
  <si>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</si>
  <si>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</si>
  <si>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</si>
  <si>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</si>
  <si>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</si>
  <si>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</si>
  <si>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</si>
  <si>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</si>
  <si>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</si>
  <si>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</si>
  <si>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</si>
  <si>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</si>
  <si>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</si>
  <si>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</si>
  <si>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</si>
  <si>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</si>
  <si>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</si>
  <si>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</si>
  <si>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</si>
  <si>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</si>
  <si>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</si>
  <si>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</si>
  <si>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</si>
  <si>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</si>
  <si>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</si>
  <si>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</si>
  <si>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</si>
  <si>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</si>
  <si>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</si>
  <si>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</si>
  <si>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</si>
  <si>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</si>
  <si>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</si>
  <si>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</si>
  <si>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</si>
  <si>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</si>
  <si>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</si>
  <si>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</si>
  <si>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</si>
  <si>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</si>
  <si>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</si>
  <si>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</si>
  <si>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</si>
  <si>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</si>
  <si>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</si>
  <si>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</si>
  <si>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</si>
  <si>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</si>
  <si>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</si>
  <si>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</si>
  <si>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</si>
  <si>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</si>
  <si>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</si>
  <si>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</si>
  <si>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</si>
  <si>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</si>
  <si>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</si>
  <si>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</si>
  <si>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</si>
  <si>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</si>
  <si>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</si>
  <si>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</si>
  <si>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</si>
  <si>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</si>
  <si>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</si>
  <si>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</si>
  <si>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</si>
  <si>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</si>
  <si>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</si>
  <si>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</si>
  <si>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</si>
  <si>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</si>
  <si>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</si>
  <si>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</si>
  <si>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</si>
  <si>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</si>
  <si>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</si>
  <si>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</si>
  <si>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</si>
  <si>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</si>
  <si>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</si>
  <si>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</si>
  <si>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</si>
  <si>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</si>
  <si>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</si>
  <si>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</si>
  <si>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</si>
  <si>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</si>
  <si>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</si>
  <si>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</si>
  <si>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</si>
  <si>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</si>
  <si>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</si>
  <si>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</si>
  <si>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</si>
  <si>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</si>
  <si>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</si>
  <si>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</si>
  <si>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</si>
  <si>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</si>
  <si>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</si>
  <si>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</si>
  <si>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</si>
  <si>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</si>
  <si>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</si>
  <si>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</si>
  <si>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</si>
  <si>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</si>
  <si>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</si>
  <si>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</si>
  <si>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</si>
  <si>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</si>
  <si>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</si>
  <si>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</si>
  <si>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</si>
  <si>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</si>
  <si>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</si>
  <si>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</si>
  <si>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</si>
  <si>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</si>
  <si>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</si>
  <si>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</si>
  <si>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</si>
  <si>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</si>
  <si>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</si>
  <si>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</si>
  <si>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</si>
  <si>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</si>
  <si>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</si>
  <si>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</si>
  <si>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</si>
  <si>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</si>
  <si>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</si>
  <si>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</si>
  <si>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</si>
  <si>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</si>
  <si>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</si>
  <si>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</si>
  <si>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</si>
  <si>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</si>
  <si>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</si>
  <si>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</si>
  <si>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</si>
  <si>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</si>
  <si>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</si>
  <si>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</si>
  <si>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</si>
  <si>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</si>
  <si>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</si>
  <si>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</si>
  <si>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</si>
  <si>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</si>
  <si>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</si>
  <si>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</si>
  <si>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</si>
  <si>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</si>
  <si>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</si>
  <si>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</si>
  <si>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</si>
  <si>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</si>
  <si>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</si>
  <si>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</si>
  <si>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</si>
  <si>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</si>
  <si>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</si>
  <si>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</si>
  <si>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</si>
  <si>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</si>
  <si>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</si>
  <si>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</si>
  <si>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</si>
  <si>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</si>
  <si>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</si>
  <si>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</si>
  <si>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</si>
  <si>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</si>
  <si>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</si>
  <si>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</si>
  <si>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</si>
  <si>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</si>
  <si>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</si>
  <si>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</si>
  <si>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</si>
  <si>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</si>
  <si>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</si>
  <si>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</si>
  <si>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</si>
  <si>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</si>
  <si>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</si>
  <si>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</si>
  <si>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</si>
  <si>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</si>
  <si>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</si>
  <si>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</si>
  <si>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</si>
  <si>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</si>
  <si>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</si>
  <si>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</si>
  <si>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</si>
  <si>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</si>
  <si>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</si>
  <si>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</si>
  <si>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</si>
  <si>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</si>
  <si>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</si>
  <si>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</si>
  <si>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</si>
  <si>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</si>
  <si>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</si>
  <si>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</si>
  <si>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</si>
  <si>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</si>
  <si>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</si>
  <si>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</si>
  <si>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</si>
  <si>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</si>
  <si>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</si>
  <si>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</si>
  <si>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</si>
  <si>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</si>
  <si>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</si>
  <si>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</si>
  <si>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</si>
  <si>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</si>
  <si>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</si>
  <si>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</si>
  <si>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</si>
  <si>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</si>
  <si>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</si>
  <si>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</si>
  <si>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</si>
  <si>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</si>
  <si>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</si>
  <si>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</si>
  <si>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</si>
  <si>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</si>
  <si>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</si>
  <si>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</si>
  <si>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</si>
  <si>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</si>
  <si>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</si>
  <si>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</si>
  <si>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</si>
  <si>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</si>
  <si>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</si>
  <si>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</si>
  <si>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</si>
  <si>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</si>
  <si>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</si>
  <si>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</si>
  <si>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</si>
  <si>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</si>
  <si>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</si>
  <si>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</si>
  <si>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</si>
  <si>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</si>
  <si>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</si>
  <si>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</si>
  <si>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</si>
  <si>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</si>
  <si>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</si>
  <si>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</si>
  <si>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</si>
  <si>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</si>
  <si>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</si>
  <si>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</si>
  <si>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</si>
  <si>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</si>
  <si>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</si>
  <si>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</si>
  <si>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</si>
  <si>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</si>
  <si>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</si>
  <si>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</si>
  <si>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</si>
  <si>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</si>
  <si>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</si>
  <si>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</si>
  <si>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</si>
  <si>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</si>
  <si>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</si>
  <si>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</si>
  <si>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</si>
  <si>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</si>
  <si>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</si>
  <si>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</si>
  <si>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</si>
  <si>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</si>
  <si>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</si>
  <si>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</si>
  <si>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</si>
  <si>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</si>
  <si>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</si>
  <si>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</si>
  <si>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</si>
  <si>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</si>
  <si>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</si>
  <si>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</si>
  <si>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</si>
  <si>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</si>
  <si>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</si>
  <si>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</si>
  <si>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</si>
  <si>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</si>
  <si>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</si>
  <si>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</si>
  <si>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</si>
  <si>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</si>
  <si>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</si>
  <si>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</si>
  <si>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</si>
  <si>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</si>
  <si>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</si>
  <si>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</si>
  <si>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</si>
  <si>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</si>
  <si>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</si>
  <si>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</si>
  <si>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</si>
  <si>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</si>
  <si>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</si>
  <si>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</si>
  <si>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</si>
  <si>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</si>
  <si>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</si>
  <si>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</si>
  <si>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</si>
  <si>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</si>
  <si>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</si>
  <si>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</si>
  <si>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</si>
  <si>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</si>
  <si>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</si>
  <si>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</si>
  <si>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</si>
  <si>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</si>
  <si>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</si>
  <si>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</si>
  <si>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</si>
  <si>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</si>
  <si>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</si>
  <si>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</si>
  <si>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</si>
  <si>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</si>
  <si>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</si>
  <si>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</si>
  <si>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</si>
  <si>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</si>
  <si>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</si>
  <si>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</si>
  <si>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</si>
  <si>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</si>
  <si>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</si>
  <si>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</si>
  <si>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</si>
  <si>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</si>
  <si>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</si>
  <si>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</si>
  <si>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</si>
  <si>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</si>
  <si>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</si>
  <si>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</si>
  <si>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</si>
  <si>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</si>
  <si>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</si>
  <si>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</si>
  <si>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</si>
  <si>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</si>
  <si>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</si>
  <si>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</si>
  <si>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</si>
  <si>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</si>
  <si>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</si>
  <si>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</si>
  <si>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</si>
  <si>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</si>
  <si>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</si>
  <si>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</si>
  <si>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</si>
  <si>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</si>
  <si>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</si>
  <si>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</si>
  <si>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</si>
  <si>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</si>
  <si>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</si>
  <si>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</si>
  <si>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</si>
  <si>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</si>
  <si>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</si>
  <si>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</si>
  <si>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</si>
  <si>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</si>
  <si>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</si>
  <si>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</si>
  <si>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</si>
  <si>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</si>
  <si>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</si>
  <si>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</si>
  <si>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</si>
  <si>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</si>
  <si>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</si>
  <si>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</si>
  <si>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</si>
  <si>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</si>
  <si>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</si>
  <si>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</si>
  <si>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</si>
  <si>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</si>
  <si>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</si>
  <si>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</si>
  <si>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</si>
  <si>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</si>
  <si>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</si>
  <si>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</si>
  <si>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</si>
  <si>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</si>
  <si>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</si>
  <si>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</si>
  <si>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</si>
  <si>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</si>
  <si>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</si>
  <si>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</si>
  <si>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</si>
  <si>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</si>
  <si>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</si>
  <si>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</si>
  <si>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</si>
  <si>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</si>
  <si>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</si>
  <si>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</si>
  <si>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</si>
  <si>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</si>
  <si>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</si>
  <si>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</si>
  <si>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</si>
  <si>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</si>
  <si>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</si>
  <si>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</si>
  <si>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</si>
  <si>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</si>
  <si>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</si>
  <si>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</si>
  <si>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</si>
  <si>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</si>
  <si>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</si>
  <si>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</si>
  <si>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</si>
  <si>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</si>
  <si>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</si>
  <si>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</si>
  <si>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</si>
  <si>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</si>
  <si>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</si>
  <si>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</si>
  <si>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</si>
  <si>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</si>
  <si>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</si>
  <si>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</si>
  <si>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</si>
  <si>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</si>
  <si>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</si>
  <si>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</si>
  <si>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</si>
  <si>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</si>
  <si>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</si>
  <si>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</si>
  <si>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</si>
  <si>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</si>
  <si>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</si>
  <si>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</si>
  <si>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</si>
  <si>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</si>
  <si>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</si>
  <si>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</si>
  <si>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</si>
  <si>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</si>
  <si>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</si>
  <si>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</si>
  <si>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</si>
  <si>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</si>
  <si>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</si>
  <si>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</si>
  <si>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</si>
  <si>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</si>
  <si>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</si>
  <si>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</si>
  <si>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</si>
  <si>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</si>
  <si>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</si>
  <si>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</si>
  <si>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</si>
  <si>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</si>
  <si>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</si>
  <si>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</si>
  <si>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</si>
  <si>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</si>
  <si>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</si>
  <si>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</si>
  <si>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</si>
  <si>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</si>
  <si>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</si>
  <si>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</si>
  <si>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</si>
  <si>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</si>
  <si>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</si>
  <si>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</si>
  <si>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</si>
  <si>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</si>
  <si>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</si>
  <si>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</si>
  <si>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</si>
  <si>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</si>
  <si>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</si>
  <si>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</si>
  <si>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</si>
  <si>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</si>
  <si>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</si>
  <si>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</si>
  <si>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</si>
  <si>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</si>
  <si>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</si>
  <si>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</si>
  <si>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</si>
  <si>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</si>
  <si>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</si>
  <si>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</si>
  <si>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</si>
  <si>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</si>
  <si>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</si>
  <si>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</si>
  <si>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</si>
  <si>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</si>
  <si>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</si>
  <si>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</si>
  <si>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</si>
  <si>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</si>
  <si>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</si>
  <si>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</si>
  <si>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</si>
  <si>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</si>
  <si>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</si>
  <si>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</si>
  <si>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</si>
  <si>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</si>
  <si>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</si>
  <si>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</si>
  <si>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</si>
  <si>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</si>
  <si>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</si>
  <si>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</si>
  <si>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</si>
  <si>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</si>
  <si>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</si>
  <si>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</si>
  <si>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</si>
  <si>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</si>
  <si>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</si>
  <si>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</si>
  <si>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</si>
  <si>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</si>
  <si>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</si>
  <si>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</si>
  <si>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</si>
  <si>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</si>
  <si>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</si>
  <si>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</si>
  <si>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</si>
  <si>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</si>
  <si>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</si>
  <si>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</si>
  <si>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</si>
  <si>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</si>
  <si>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</si>
  <si>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</si>
  <si>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</si>
  <si>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</si>
  <si>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</si>
  <si>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</si>
  <si>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</si>
  <si>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</si>
  <si>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</si>
  <si>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</si>
  <si>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</si>
  <si>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</si>
  <si>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</si>
  <si>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</si>
  <si>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</si>
  <si>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</si>
  <si>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</si>
  <si>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</si>
  <si>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</si>
  <si>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</si>
  <si>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</si>
  <si>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</si>
  <si>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</si>
  <si>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</si>
  <si>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</si>
  <si>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</si>
  <si>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</si>
  <si>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</si>
  <si>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</si>
  <si>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</si>
  <si>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</si>
  <si>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</si>
  <si>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</si>
  <si>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</si>
  <si>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</si>
  <si>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</si>
  <si>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</si>
  <si>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</si>
  <si>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</si>
  <si>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</si>
  <si>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</si>
  <si>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</si>
  <si>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</si>
  <si>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</si>
  <si>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</si>
  <si>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</si>
  <si>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</si>
  <si>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</si>
  <si>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</si>
  <si>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</si>
  <si>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</si>
  <si>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</si>
  <si>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</si>
  <si>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</si>
  <si>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</si>
  <si>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</si>
  <si>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</si>
  <si>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</si>
  <si>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</si>
  <si>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</si>
  <si>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</si>
  <si>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</si>
  <si>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</si>
  <si>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</si>
  <si>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</si>
  <si>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</si>
  <si>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</si>
  <si>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</si>
  <si>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</si>
  <si>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</si>
  <si>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</si>
  <si>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</si>
  <si>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</si>
  <si>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</si>
  <si>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</si>
  <si>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</si>
  <si>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</si>
  <si>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</si>
  <si>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</si>
  <si>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</si>
  <si>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</si>
  <si>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</si>
  <si>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</si>
  <si>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</si>
  <si>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</si>
  <si>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</si>
  <si>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</si>
  <si>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</si>
  <si>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</si>
  <si>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</si>
  <si>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</si>
  <si>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</si>
  <si>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</si>
  <si>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</si>
  <si>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</si>
  <si>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</si>
  <si>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</si>
  <si>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</si>
  <si>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</si>
  <si>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</si>
  <si>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</si>
  <si>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</si>
  <si>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</si>
  <si>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</si>
  <si>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</si>
  <si>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</si>
  <si>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</si>
  <si>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</si>
  <si>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</si>
  <si>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</si>
  <si>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</si>
  <si>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</si>
  <si>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</si>
  <si>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</si>
  <si>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</si>
  <si>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</si>
  <si>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</si>
  <si>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</si>
  <si>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</si>
  <si>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</si>
  <si>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</si>
  <si>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</si>
  <si>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</si>
  <si>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</si>
  <si>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</si>
  <si>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</si>
  <si>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</si>
  <si>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</si>
  <si>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</si>
  <si>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</si>
  <si>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</si>
  <si>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</si>
  <si>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</si>
  <si>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</si>
  <si>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</si>
  <si>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</si>
  <si>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</si>
  <si>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</si>
  <si>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</si>
  <si>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</si>
  <si>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</si>
  <si>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</si>
  <si>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</si>
  <si>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</si>
  <si>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</si>
  <si>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</si>
  <si>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</si>
  <si>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</si>
  <si>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</si>
  <si>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</si>
  <si>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</si>
  <si>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</si>
  <si>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</si>
  <si>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</si>
  <si>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</si>
  <si>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</si>
  <si>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</si>
  <si>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</si>
  <si>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</si>
  <si>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</si>
  <si>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</si>
  <si>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</si>
  <si>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</si>
  <si>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</si>
  <si>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</si>
  <si>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</si>
  <si>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</si>
  <si>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</si>
  <si>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</si>
  <si>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</si>
  <si>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</si>
  <si>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</si>
  <si>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</si>
  <si>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</si>
  <si>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</si>
  <si>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</si>
  <si>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</si>
  <si>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</si>
  <si>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</si>
  <si>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</si>
  <si>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</si>
  <si>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</si>
  <si>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</si>
  <si>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</si>
  <si>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</si>
  <si>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</si>
  <si>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</si>
  <si>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</si>
  <si>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</si>
  <si>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</si>
  <si>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</si>
  <si>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</si>
  <si>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</si>
  <si>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</si>
  <si>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</si>
  <si>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</si>
  <si>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</si>
  <si>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</si>
  <si>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</si>
  <si>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</si>
  <si>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</si>
  <si>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</si>
  <si>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</si>
  <si>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</si>
  <si>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</si>
  <si>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</si>
  <si>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</si>
  <si>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</si>
  <si>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</si>
  <si>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</si>
  <si>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</si>
  <si>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</si>
  <si>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</si>
  <si>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</si>
  <si>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</si>
  <si>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</si>
  <si>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</si>
  <si>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</si>
  <si>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</si>
  <si>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</si>
  <si>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</si>
  <si>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</si>
  <si>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</si>
  <si>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</si>
  <si>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</si>
  <si>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</si>
  <si>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</si>
  <si>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</si>
  <si>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</si>
  <si>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</si>
  <si>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</si>
  <si>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</si>
  <si>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</si>
  <si>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</si>
  <si>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</si>
  <si>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</si>
  <si>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</si>
  <si>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</si>
  <si>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</si>
  <si>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</si>
  <si>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</si>
  <si>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</si>
  <si>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</si>
  <si>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</si>
  <si>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</si>
  <si>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</si>
  <si>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</si>
  <si>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</si>
  <si>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</si>
  <si>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</si>
  <si>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</si>
  <si>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</si>
  <si>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</si>
  <si>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</si>
  <si>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</si>
  <si>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</si>
  <si>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</si>
  <si>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</si>
  <si>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</si>
  <si>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</si>
  <si>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</si>
  <si>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</si>
  <si>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</si>
  <si>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</si>
  <si>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</si>
  <si>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</si>
  <si>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</si>
  <si>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</si>
  <si>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</si>
  <si>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</si>
  <si>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</si>
  <si>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</si>
  <si>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</si>
  <si>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</si>
  <si>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</si>
  <si>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</si>
  <si>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</si>
  <si>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</si>
  <si>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</si>
  <si>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</si>
  <si>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</si>
  <si>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</si>
  <si>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</si>
  <si>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</si>
  <si>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</si>
  <si>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</si>
  <si>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</si>
  <si>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</si>
  <si>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</si>
  <si>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</si>
  <si>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</si>
  <si>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</si>
  <si>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</si>
  <si>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</si>
  <si>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</si>
  <si>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</si>
  <si>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</si>
  <si>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</si>
  <si>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</si>
  <si>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</si>
  <si>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</si>
  <si>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</si>
  <si>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</si>
  <si>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</si>
  <si>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</si>
  <si>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</si>
  <si>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</si>
  <si>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</si>
  <si>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</si>
  <si>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</si>
  <si>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</si>
  <si>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</si>
  <si>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</si>
  <si>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</si>
  <si>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</si>
  <si>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</si>
  <si>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</si>
  <si>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</si>
  <si>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</si>
  <si>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</si>
  <si>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</si>
  <si>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</si>
  <si>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</si>
  <si>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</si>
  <si>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</si>
  <si>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</si>
  <si>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</si>
  <si>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</si>
  <si>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</si>
  <si>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</si>
  <si>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</si>
  <si>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</si>
  <si>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</si>
  <si>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</si>
  <si>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</si>
  <si>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</si>
  <si>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</si>
  <si>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</si>
  <si>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</si>
  <si>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</si>
  <si>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</si>
  <si>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</si>
  <si>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</si>
  <si>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</si>
  <si>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</si>
  <si>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</si>
  <si>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</si>
  <si>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</si>
  <si>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</si>
  <si>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</si>
  <si>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</si>
  <si>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</si>
  <si>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</si>
  <si>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</si>
  <si>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</si>
  <si>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</si>
  <si>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</si>
  <si>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</si>
  <si>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</si>
  <si>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</si>
  <si>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</si>
  <si>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</si>
  <si>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</si>
  <si>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</si>
  <si>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</si>
  <si>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</si>
  <si>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</si>
  <si>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</si>
  <si>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</si>
  <si>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</si>
  <si>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</si>
  <si>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</si>
  <si>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</si>
  <si>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</si>
  <si>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</si>
  <si>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</si>
  <si>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</si>
  <si>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</si>
  <si>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</si>
  <si>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</si>
  <si>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</si>
  <si>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</si>
  <si>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</si>
  <si>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</si>
  <si>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</si>
  <si>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</si>
  <si>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</si>
  <si>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</si>
  <si>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</si>
  <si>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</si>
  <si>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</si>
  <si>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</si>
  <si>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</si>
  <si>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</si>
  <si>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</si>
  <si>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</si>
  <si>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</si>
  <si>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</si>
  <si>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</si>
  <si>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</si>
  <si>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</si>
  <si>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</si>
  <si>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</si>
  <si>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</si>
  <si>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</si>
  <si>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</si>
  <si>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</si>
  <si>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</si>
  <si>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</si>
  <si>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</si>
  <si>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</si>
  <si>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</si>
  <si>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</si>
  <si>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</si>
  <si>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</si>
  <si>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</si>
  <si>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</si>
  <si>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</si>
  <si>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</si>
  <si>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</si>
  <si>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</si>
  <si>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</si>
  <si>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</si>
  <si>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</si>
  <si>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</si>
  <si>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</si>
  <si>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</si>
  <si>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</si>
  <si>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</si>
  <si>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</si>
  <si>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</si>
  <si>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</si>
  <si>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</si>
  <si>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</si>
  <si>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</si>
  <si>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</si>
  <si>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</si>
  <si>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</si>
  <si>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</si>
  <si>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</si>
  <si>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</si>
  <si>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</si>
  <si>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</si>
  <si>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</si>
  <si>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</si>
  <si>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</si>
  <si>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</si>
  <si>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</si>
  <si>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</si>
  <si>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</si>
  <si>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</si>
  <si>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</si>
  <si>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</si>
  <si>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</si>
  <si>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</si>
  <si>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</si>
  <si>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</si>
  <si>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</si>
  <si>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</si>
  <si>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</si>
  <si>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</si>
  <si>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</si>
  <si>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</si>
  <si>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</si>
  <si>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</si>
  <si>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</si>
  <si>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</si>
  <si>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</si>
  <si>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</si>
  <si>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</si>
  <si>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</si>
  <si>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</si>
  <si>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</si>
  <si>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</si>
  <si>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</si>
  <si>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</si>
  <si>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</si>
  <si>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</si>
  <si>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</si>
  <si>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</si>
  <si>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</si>
  <si>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</si>
  <si>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</si>
  <si>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</si>
  <si>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</si>
  <si>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</si>
  <si>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</si>
  <si>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</si>
  <si>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</si>
  <si>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</si>
  <si>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</si>
  <si>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</si>
  <si>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</si>
  <si>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</si>
  <si>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</si>
  <si>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</si>
  <si>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</si>
  <si>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</si>
  <si>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</si>
  <si>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</si>
  <si>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</si>
  <si>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</si>
  <si>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</si>
  <si>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</si>
  <si>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</si>
  <si>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</si>
  <si>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</si>
  <si>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</si>
  <si>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</si>
  <si>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</si>
  <si>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</si>
  <si>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</si>
  <si>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</si>
  <si>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</si>
  <si>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</si>
  <si>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</si>
  <si>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</si>
  <si>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</si>
  <si>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</si>
  <si>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</si>
  <si>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</si>
  <si>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</si>
  <si>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</si>
  <si>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</si>
  <si>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</si>
  <si>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</si>
  <si>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</si>
  <si>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</si>
  <si>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</si>
  <si>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</si>
  <si>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</si>
  <si>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</si>
  <si>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</si>
  <si>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</si>
  <si>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</si>
  <si>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</si>
  <si>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</si>
  <si>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</si>
  <si>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</si>
  <si>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</si>
  <si>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</si>
  <si>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</si>
  <si>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</si>
  <si>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</si>
  <si>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</si>
  <si>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</si>
  <si>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</si>
  <si>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</si>
  <si>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</si>
  <si>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</si>
  <si>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</si>
  <si>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</si>
  <si>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</si>
  <si>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</si>
  <si>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</si>
  <si>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</si>
  <si>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</si>
  <si>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</si>
  <si>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</si>
  <si>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</si>
  <si>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</si>
  <si>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</si>
  <si>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</si>
  <si>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</si>
  <si>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</si>
  <si>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</si>
  <si>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</si>
  <si>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</si>
  <si>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</si>
  <si>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</si>
  <si>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</si>
  <si>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</si>
  <si>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</si>
  <si>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</si>
  <si>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</si>
  <si>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</si>
  <si>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</si>
  <si>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</si>
  <si>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</si>
  <si>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</si>
  <si>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</si>
  <si>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</si>
  <si>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</si>
  <si>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</si>
  <si>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</si>
  <si>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</si>
  <si>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</si>
  <si>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</si>
  <si>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</si>
  <si>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</si>
  <si>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</si>
  <si>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</si>
  <si>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</si>
  <si>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</si>
  <si>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</si>
  <si>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</si>
  <si>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</si>
  <si>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</si>
  <si>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</si>
  <si>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</si>
  <si>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</si>
  <si>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</si>
  <si>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</si>
  <si>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</si>
  <si>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</si>
  <si>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</si>
  <si>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</si>
  <si>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</si>
  <si>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</si>
  <si>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</si>
  <si>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</si>
  <si>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</si>
  <si>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</si>
  <si>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</si>
  <si>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</si>
  <si>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</si>
  <si>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</si>
  <si>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</si>
  <si>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</si>
  <si>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</si>
  <si>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</si>
  <si>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</si>
  <si>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</si>
  <si>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</si>
  <si>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</si>
  <si>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</si>
  <si>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</si>
  <si>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</si>
  <si>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</si>
  <si>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</si>
  <si>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</si>
  <si>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</si>
  <si>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</si>
  <si>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</si>
  <si>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</si>
  <si>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</si>
  <si>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</si>
  <si>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</si>
  <si>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</si>
  <si>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</si>
  <si>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</si>
  <si>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</si>
  <si>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</si>
  <si>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</si>
  <si>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</si>
  <si>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</si>
  <si>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</si>
  <si>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</si>
  <si>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</si>
  <si>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</si>
  <si>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</si>
  <si>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</si>
  <si>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</si>
  <si>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</si>
  <si>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</si>
  <si>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</si>
  <si>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</si>
  <si>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</si>
  <si>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</si>
  <si>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</si>
  <si>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</si>
  <si>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</si>
  <si>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</si>
  <si>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</si>
  <si>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</si>
  <si>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</si>
  <si>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</si>
  <si>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</si>
  <si>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</si>
  <si>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</si>
  <si>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</si>
  <si>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</si>
  <si>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</si>
  <si>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</si>
  <si>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</si>
  <si>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</si>
  <si>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</si>
  <si>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</si>
  <si>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</si>
  <si>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</si>
  <si>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</si>
  <si>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</si>
  <si>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</si>
  <si>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</si>
  <si>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</si>
  <si>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</si>
  <si>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</si>
  <si>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</si>
  <si>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</si>
  <si>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</si>
  <si>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</si>
  <si>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</si>
  <si>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</si>
  <si>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</si>
  <si>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</si>
  <si>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</si>
  <si>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</si>
  <si>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</si>
  <si>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</si>
  <si>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</si>
  <si>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</si>
  <si>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</si>
  <si>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</si>
  <si>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</si>
  <si>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</si>
  <si>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</si>
  <si>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</si>
  <si>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</si>
  <si>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</si>
  <si>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</si>
  <si>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</si>
  <si>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</si>
  <si>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</si>
  <si>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</si>
  <si>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</si>
  <si>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</si>
  <si>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</si>
  <si>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</si>
  <si>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</si>
  <si>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</si>
  <si>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</si>
  <si>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</si>
  <si>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</si>
  <si>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</si>
  <si>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</si>
  <si>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</si>
  <si>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</si>
  <si>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</si>
  <si>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</si>
  <si>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</si>
  <si>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</si>
  <si>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</si>
  <si>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</si>
  <si>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</si>
  <si>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</si>
  <si>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</si>
  <si>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</si>
  <si>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</si>
  <si>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</si>
  <si>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</si>
  <si>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</si>
  <si>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</si>
  <si>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</si>
  <si>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</si>
  <si>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</si>
  <si>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</si>
  <si>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</si>
  <si>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</si>
  <si>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</si>
  <si>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</si>
  <si>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</si>
  <si>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</si>
  <si>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</si>
  <si>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</si>
  <si>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</si>
  <si>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</si>
  <si>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</si>
  <si>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</si>
  <si>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</si>
  <si>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</si>
  <si>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</si>
  <si>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</si>
  <si>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</si>
  <si>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</si>
  <si>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</si>
  <si>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</si>
  <si>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</si>
  <si>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</si>
  <si>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</si>
  <si>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</si>
  <si>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</si>
  <si>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</si>
  <si>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</si>
  <si>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</si>
  <si>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</si>
  <si>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</si>
  <si>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</si>
  <si>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</si>
  <si>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</si>
  <si>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</si>
  <si>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</si>
  <si>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</si>
  <si>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</si>
  <si>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</si>
  <si>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</si>
  <si>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</si>
  <si>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</si>
  <si>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</si>
  <si>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</si>
  <si>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</si>
  <si>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</si>
  <si>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</si>
  <si>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</si>
  <si>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</si>
  <si>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</si>
  <si>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</si>
  <si>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</si>
  <si>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</si>
  <si>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</si>
  <si>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</si>
  <si>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</si>
  <si>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</si>
  <si>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</si>
  <si>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</si>
  <si>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</si>
  <si>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</si>
  <si>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</si>
  <si>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</si>
  <si>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</si>
  <si>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</si>
  <si>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</si>
  <si>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</si>
  <si>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</si>
  <si>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</si>
  <si>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</si>
  <si>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</si>
  <si>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</si>
  <si>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</si>
  <si>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</si>
  <si>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</si>
  <si>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</si>
  <si>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</si>
  <si>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</si>
  <si>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</si>
  <si>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</si>
  <si>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</si>
  <si>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</si>
  <si>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</si>
  <si>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</si>
  <si>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</si>
  <si>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</si>
  <si>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</si>
  <si>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</si>
  <si>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</si>
  <si>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</si>
  <si>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</si>
  <si>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</si>
  <si>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</si>
  <si>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</si>
  <si>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</si>
  <si>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</si>
  <si>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</si>
  <si>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</si>
  <si>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</si>
  <si>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</si>
  <si>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</si>
  <si>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</si>
  <si>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</si>
  <si>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</si>
  <si>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</si>
  <si>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</si>
  <si>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</si>
  <si>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</si>
  <si>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</si>
  <si>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</si>
  <si>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</si>
  <si>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</si>
  <si>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</si>
  <si>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</si>
  <si>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</si>
  <si>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</si>
  <si>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</si>
  <si>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</si>
  <si>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</si>
  <si>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</si>
  <si>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</si>
  <si>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</si>
  <si>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</si>
  <si>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</si>
  <si>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</si>
  <si>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</si>
  <si>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</si>
  <si>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</si>
  <si>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</si>
  <si>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</si>
  <si>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</si>
  <si>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</si>
  <si>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</si>
  <si>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</si>
  <si>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</si>
  <si>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</si>
  <si>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</si>
  <si>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</si>
  <si>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</si>
  <si>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</si>
  <si>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</si>
  <si>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</si>
  <si>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</si>
  <si>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</si>
  <si>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</si>
  <si>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</si>
  <si>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</si>
  <si>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</si>
  <si>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</si>
  <si>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</si>
  <si>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</si>
  <si>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</si>
  <si>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</si>
  <si>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</si>
  <si>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</si>
  <si>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</si>
  <si>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</si>
  <si>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</si>
  <si>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</si>
  <si>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</si>
  <si>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</si>
  <si>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</si>
  <si>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</si>
  <si>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</si>
  <si>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</si>
  <si>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</si>
  <si>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</si>
  <si>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</si>
  <si>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</si>
  <si>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</si>
  <si>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</si>
  <si>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</si>
  <si>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</si>
  <si>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</si>
  <si>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</si>
  <si>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</si>
  <si>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</si>
  <si>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</si>
  <si>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</si>
  <si>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</si>
  <si>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</si>
  <si>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</si>
  <si>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</si>
  <si>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</si>
  <si>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</si>
  <si>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</si>
  <si>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</si>
  <si>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</si>
  <si>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</si>
  <si>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</si>
  <si>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</si>
  <si>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</si>
  <si>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</si>
  <si>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</si>
  <si>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</si>
  <si>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</si>
  <si>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</si>
  <si>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</si>
  <si>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</si>
  <si>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</si>
  <si>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</si>
  <si>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</si>
  <si>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</si>
  <si>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</si>
  <si>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</si>
  <si>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</si>
  <si>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</si>
  <si>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</si>
  <si>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</si>
  <si>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</si>
  <si>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</si>
  <si>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</si>
  <si>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</si>
  <si>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</si>
  <si>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</si>
  <si>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</si>
  <si>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</si>
  <si>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</si>
  <si>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</si>
  <si>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</si>
  <si>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</si>
  <si>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</si>
  <si>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</si>
  <si>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</si>
  <si>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</si>
  <si>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</si>
  <si>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</si>
  <si>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</si>
  <si>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</si>
  <si>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</si>
  <si>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</si>
  <si>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</si>
  <si>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</si>
  <si>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</si>
  <si>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</si>
  <si>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</si>
  <si>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</si>
  <si>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</si>
  <si>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</si>
  <si>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</si>
  <si>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</si>
  <si>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</si>
  <si>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</si>
  <si>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</si>
  <si>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</si>
  <si>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</si>
  <si>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</si>
  <si>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</si>
  <si>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</si>
  <si>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</si>
  <si>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</si>
  <si>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</si>
  <si>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</si>
  <si>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</si>
  <si>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</si>
  <si>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</si>
  <si>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</si>
  <si>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</si>
  <si>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</si>
  <si>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</si>
  <si>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</si>
  <si>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</si>
  <si>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</si>
  <si>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</si>
  <si>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</si>
  <si>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</si>
  <si>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</si>
  <si>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</si>
  <si>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</si>
  <si>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</si>
  <si>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</si>
  <si>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</si>
  <si>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</si>
  <si>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</si>
  <si>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</si>
  <si>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</si>
  <si>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</si>
  <si>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</si>
  <si>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</si>
  <si>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</si>
  <si>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</si>
  <si>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</si>
  <si>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</si>
  <si>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</si>
  <si>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</si>
  <si>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</si>
  <si>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</si>
  <si>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</si>
  <si>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</si>
  <si>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</si>
  <si>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</si>
  <si>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</si>
  <si>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</si>
  <si>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</si>
  <si>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</si>
  <si>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</si>
  <si>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</si>
  <si>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</si>
  <si>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</si>
  <si>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</si>
  <si>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</si>
  <si>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</si>
  <si>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</si>
  <si>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</si>
  <si>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</si>
  <si>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</si>
  <si>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</si>
  <si>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</si>
  <si>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</si>
  <si>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</si>
  <si>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</si>
  <si>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</si>
  <si>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</si>
  <si>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</si>
  <si>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</si>
  <si>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</si>
  <si>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</si>
  <si>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</si>
  <si>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</si>
  <si>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</si>
  <si>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</si>
  <si>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</si>
  <si>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</si>
  <si>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</si>
  <si>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</si>
  <si>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</si>
  <si>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</si>
  <si>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</si>
  <si>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</si>
  <si>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</si>
  <si>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</si>
  <si>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</si>
  <si>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</si>
  <si>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</si>
  <si>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</si>
  <si>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</si>
  <si>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</si>
  <si>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</si>
  <si>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</si>
  <si>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</si>
  <si>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</si>
  <si>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</si>
  <si>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</si>
  <si>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</si>
  <si>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</si>
  <si>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</si>
  <si>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</si>
  <si>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</si>
  <si>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</si>
  <si>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</si>
  <si>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</si>
  <si>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</si>
  <si>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</si>
  <si>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</si>
  <si>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</si>
  <si>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</si>
  <si>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</si>
  <si>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</si>
  <si>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</si>
  <si>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</si>
  <si>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</si>
  <si>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</si>
  <si>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</si>
  <si>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</si>
  <si>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</si>
  <si>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</si>
  <si>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</si>
  <si>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</si>
  <si>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</si>
  <si>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</si>
  <si>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</si>
  <si>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</si>
  <si>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</si>
  <si>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</si>
  <si>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</si>
  <si>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</si>
  <si>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</si>
  <si>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</si>
  <si>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</si>
  <si>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</si>
  <si>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</si>
  <si>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</si>
  <si>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</si>
  <si>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</si>
  <si>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</si>
  <si>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</si>
  <si>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</si>
  <si>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</si>
  <si>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</si>
  <si>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</si>
  <si>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</si>
  <si>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</si>
  <si>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</si>
  <si>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</si>
  <si>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</si>
  <si>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</si>
  <si>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</si>
  <si>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</si>
  <si>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</si>
  <si>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</si>
  <si>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</si>
  <si>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</si>
  <si>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</si>
  <si>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</si>
  <si>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</si>
  <si>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</si>
  <si>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</si>
  <si>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</si>
  <si>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</si>
  <si>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</si>
  <si>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</si>
  <si>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</si>
  <si>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</si>
  <si>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</si>
  <si>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</si>
  <si>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</si>
  <si>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</si>
  <si>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</si>
  <si>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</si>
  <si>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</si>
  <si>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</si>
  <si>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</si>
  <si>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</si>
  <si>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</si>
  <si>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</si>
  <si>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</si>
  <si>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</si>
  <si>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</si>
  <si>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</si>
  <si>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</si>
  <si>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</si>
  <si>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</si>
  <si>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</si>
  <si>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</si>
  <si>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</si>
  <si>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</si>
  <si>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</si>
  <si>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</si>
  <si>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</si>
  <si>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</si>
  <si>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</si>
  <si>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</si>
  <si>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</si>
  <si>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</si>
  <si>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</si>
  <si>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</si>
  <si>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</si>
  <si>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</si>
  <si>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</si>
  <si>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</si>
  <si>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</si>
  <si>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</si>
  <si>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</si>
  <si>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</si>
  <si>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</si>
  <si>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</si>
  <si>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</si>
  <si>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</si>
  <si>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</si>
  <si>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</si>
  <si>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</si>
  <si>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</si>
  <si>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</si>
  <si>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</si>
  <si>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</si>
  <si>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</si>
  <si>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</si>
  <si>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</si>
  <si>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</si>
  <si>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</si>
  <si>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</si>
  <si>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</si>
  <si>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</si>
  <si>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</si>
  <si>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</si>
  <si>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</si>
  <si>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</si>
  <si>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</si>
  <si>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</si>
  <si>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</si>
  <si>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</si>
  <si>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</si>
  <si>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</si>
  <si>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</si>
  <si>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</si>
  <si>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</si>
  <si>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</si>
  <si>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</si>
  <si>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</si>
  <si>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</si>
  <si>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</si>
  <si>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</si>
  <si>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</si>
  <si>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</si>
  <si>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</si>
  <si>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</si>
  <si>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</si>
  <si>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</si>
  <si>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</si>
  <si>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</si>
  <si>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</si>
  <si>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</si>
  <si>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</si>
  <si>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</si>
  <si>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</si>
  <si>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</si>
  <si>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</si>
  <si>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</si>
  <si>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</si>
  <si>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</si>
  <si>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</si>
  <si>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</si>
  <si>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</si>
  <si>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</si>
  <si>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</si>
  <si>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</si>
  <si>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</si>
  <si>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</si>
  <si>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</si>
  <si>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</si>
  <si>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</si>
  <si>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</si>
  <si>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</si>
  <si>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</si>
  <si>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</si>
  <si>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</si>
  <si>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</si>
  <si>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</si>
  <si>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</si>
  <si>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</si>
  <si>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</si>
  <si>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</si>
  <si>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</si>
  <si>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</si>
  <si>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</si>
  <si>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</si>
  <si>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</si>
  <si>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</si>
  <si>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</si>
  <si>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</si>
  <si>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</si>
  <si>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</si>
  <si>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</si>
  <si>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</si>
  <si>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</si>
  <si>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</si>
  <si>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</si>
  <si>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</si>
  <si>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</si>
  <si>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</si>
  <si>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</si>
  <si>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</si>
  <si>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</si>
  <si>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</si>
  <si>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</si>
  <si>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</si>
  <si>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</si>
  <si>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</si>
  <si>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</si>
  <si>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</si>
  <si>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</si>
  <si>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</si>
  <si>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</si>
  <si>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</si>
  <si>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</si>
  <si>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</si>
  <si>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</si>
  <si>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</si>
  <si>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</si>
  <si>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</si>
  <si>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</si>
  <si>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</si>
  <si>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</si>
  <si>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</si>
  <si>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</si>
  <si>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</si>
  <si>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</si>
  <si>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</si>
  <si>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</si>
  <si>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</si>
  <si>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</si>
  <si>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</si>
  <si>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</si>
  <si>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</si>
  <si>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</si>
  <si>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</si>
  <si>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</si>
  <si>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</si>
  <si>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</si>
  <si>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</si>
  <si>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</si>
  <si>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</si>
  <si>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</si>
  <si>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</si>
  <si>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</si>
  <si>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</si>
  <si>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</si>
  <si>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</si>
  <si>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</si>
  <si>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</si>
  <si>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</si>
  <si>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</si>
  <si>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</si>
  <si>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</si>
  <si>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</si>
  <si>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</si>
  <si>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</si>
  <si>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</si>
  <si>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</si>
  <si>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</si>
  <si>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</si>
  <si>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</si>
  <si>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</si>
  <si>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</si>
  <si>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</si>
  <si>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</si>
  <si>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</si>
  <si>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</si>
  <si>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</si>
  <si>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</si>
  <si>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</si>
  <si>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</si>
  <si>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</si>
  <si>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</si>
  <si>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</si>
  <si>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</si>
  <si>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</si>
  <si>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</si>
  <si>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</si>
  <si>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</si>
  <si>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</si>
  <si>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</si>
  <si>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</si>
  <si>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</si>
  <si>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</si>
  <si>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</si>
  <si>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</si>
  <si>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</si>
  <si>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</si>
  <si>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</si>
  <si>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</si>
  <si>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</si>
  <si>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</si>
  <si>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</si>
  <si>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</si>
  <si>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</si>
  <si>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</si>
  <si>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</si>
  <si>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</si>
  <si>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</si>
  <si>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</si>
  <si>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</si>
  <si>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</si>
  <si>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</si>
  <si>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</si>
  <si>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</si>
  <si>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</si>
  <si>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</si>
  <si>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</si>
  <si>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</si>
  <si>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</si>
  <si>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</si>
  <si>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</si>
  <si>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</si>
  <si>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</si>
  <si>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</si>
  <si>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</si>
  <si>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</si>
  <si>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</si>
  <si>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</si>
  <si>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</si>
  <si>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</si>
  <si>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</si>
  <si>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</si>
  <si>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</si>
  <si>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</si>
  <si>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</si>
  <si>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</si>
  <si>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</si>
  <si>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</si>
  <si>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</si>
  <si>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</si>
  <si>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</si>
  <si>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</si>
  <si>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</si>
  <si>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</si>
  <si>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</si>
  <si>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</si>
  <si>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</si>
  <si>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</si>
  <si>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</si>
  <si>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</si>
  <si>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</si>
  <si>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</si>
  <si>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</si>
  <si>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</si>
  <si>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</si>
  <si>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</si>
  <si>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</si>
  <si>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</si>
  <si>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</si>
  <si>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</si>
  <si>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</si>
  <si>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</si>
  <si>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</si>
  <si>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</si>
  <si>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</si>
  <si>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</si>
  <si>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</si>
  <si>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</si>
  <si>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</si>
  <si>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</si>
  <si>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</si>
  <si>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</si>
  <si>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</si>
  <si>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</si>
  <si>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</si>
  <si>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</si>
  <si>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</si>
  <si>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</si>
  <si>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</si>
  <si>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</si>
  <si>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</si>
  <si>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</si>
  <si>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</si>
  <si>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</si>
  <si>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</si>
  <si>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</si>
  <si>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</si>
  <si>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</si>
  <si>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</si>
  <si>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</si>
  <si>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</si>
  <si>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</si>
  <si>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</si>
  <si>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</si>
  <si>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</si>
  <si>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</si>
  <si>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</si>
  <si>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</si>
  <si>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</si>
  <si>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</si>
  <si>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</si>
  <si>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</si>
  <si>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</si>
  <si>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</si>
  <si>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</si>
  <si>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</si>
  <si>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</si>
  <si>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</si>
  <si>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</si>
  <si>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</si>
  <si>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</si>
  <si>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</si>
  <si>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</si>
  <si>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</si>
  <si>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</si>
  <si>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</si>
  <si>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</si>
  <si>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</si>
  <si>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</si>
  <si>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</si>
  <si>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</si>
  <si>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</si>
  <si>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</si>
  <si>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</si>
  <si>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</si>
  <si>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</si>
  <si>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</si>
  <si>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</si>
  <si>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</si>
  <si>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</si>
  <si>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</si>
  <si>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</si>
  <si>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</si>
  <si>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</si>
  <si>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</si>
  <si>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</si>
  <si>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</si>
  <si>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</si>
  <si>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</si>
  <si>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</si>
  <si>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</si>
  <si>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</si>
  <si>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</si>
  <si>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</si>
  <si>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</si>
  <si>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</si>
  <si>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</si>
  <si>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</si>
  <si>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</si>
  <si>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</si>
  <si>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</si>
  <si>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</si>
  <si>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</si>
  <si>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</si>
  <si>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</si>
  <si>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</si>
  <si>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</si>
  <si>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</si>
  <si>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</si>
  <si>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</si>
  <si>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</si>
  <si>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وغدیر 94349 تا 214.57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</si>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</sst>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4267</v>
      </c>
      <c r="B1" t="s">
        <v>4268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3" workbookViewId="0">
      <selection activeCell="D41" sqref="D4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4182</v>
      </c>
      <c r="B3" s="18">
        <v>0</v>
      </c>
      <c r="C3" s="18">
        <v>0</v>
      </c>
      <c r="D3" s="117">
        <f t="shared" ref="D3:D26" si="0">B3-C3</f>
        <v>0</v>
      </c>
      <c r="E3" s="20"/>
      <c r="F3" s="96">
        <v>30</v>
      </c>
      <c r="G3" s="96">
        <f t="shared" ref="G3:G25" si="1">B3*F3</f>
        <v>0</v>
      </c>
      <c r="H3" s="96">
        <f t="shared" ref="H3:H25" si="2">C3*F3</f>
        <v>0</v>
      </c>
      <c r="I3" s="96">
        <f t="shared" ref="I3:I25" si="3">D3*F3</f>
        <v>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4200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4205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4206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4208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4209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4209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4073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4214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4175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4218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4223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4254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4264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4279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274140</v>
      </c>
      <c r="H28" s="18">
        <f>SUM(H2:H26)</f>
        <v>239063670</v>
      </c>
      <c r="I28" s="18">
        <f>SUM(I2:I26)</f>
        <v>-238789530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523229.74392646091</v>
      </c>
      <c r="I33" s="18">
        <f>G33*I28/G28</f>
        <v>-522629.74392646091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4331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/>
      <c r="E41" s="54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/>
      <c r="E42" s="54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/>
      <c r="E44" s="54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-51211358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0" activePane="bottomLeft" state="frozen"/>
      <selection pane="bottomLeft" activeCell="F225" sqref="F2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926</v>
      </c>
      <c r="H2" s="36">
        <f>IF(B2&gt;0,1,0)</f>
        <v>1</v>
      </c>
      <c r="I2" s="11">
        <f>B2*(G2-H2)</f>
        <v>15447500</v>
      </c>
      <c r="J2" s="53">
        <f>C2*(G2-H2)</f>
        <v>15447500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925</v>
      </c>
      <c r="H3" s="36">
        <f t="shared" ref="H3:H66" si="2">IF(B3&gt;0,1,0)</f>
        <v>1</v>
      </c>
      <c r="I3" s="11">
        <f t="shared" ref="I3:I66" si="3">B3*(G3-H3)</f>
        <v>18387600000</v>
      </c>
      <c r="J3" s="53">
        <f t="shared" ref="J3:J66" si="4">C3*(G3-H3)</f>
        <v>10521588000</v>
      </c>
      <c r="K3" s="53">
        <f t="shared" ref="K3:K66" si="5">D3*(G3-H3)</f>
        <v>7866012000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925</v>
      </c>
      <c r="H4" s="36">
        <f t="shared" si="2"/>
        <v>0</v>
      </c>
      <c r="I4" s="11">
        <f t="shared" si="3"/>
        <v>0</v>
      </c>
      <c r="J4" s="53">
        <f t="shared" si="4"/>
        <v>7862500</v>
      </c>
      <c r="K4" s="53">
        <f t="shared" si="5"/>
        <v>-7862500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923</v>
      </c>
      <c r="H5" s="36">
        <f t="shared" si="2"/>
        <v>1</v>
      </c>
      <c r="I5" s="11">
        <f t="shared" si="3"/>
        <v>1844000000</v>
      </c>
      <c r="J5" s="53">
        <f t="shared" si="4"/>
        <v>0</v>
      </c>
      <c r="K5" s="53">
        <f t="shared" si="5"/>
        <v>1844000000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916</v>
      </c>
      <c r="H6" s="36">
        <f t="shared" si="2"/>
        <v>0</v>
      </c>
      <c r="I6" s="11">
        <f t="shared" si="3"/>
        <v>-4580000</v>
      </c>
      <c r="J6" s="53">
        <f t="shared" si="4"/>
        <v>0</v>
      </c>
      <c r="K6" s="53">
        <f t="shared" si="5"/>
        <v>-4580000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912</v>
      </c>
      <c r="H7" s="36">
        <f t="shared" si="2"/>
        <v>0</v>
      </c>
      <c r="I7" s="11">
        <f t="shared" si="3"/>
        <v>-1094856000</v>
      </c>
      <c r="J7" s="53">
        <f t="shared" si="4"/>
        <v>0</v>
      </c>
      <c r="K7" s="53">
        <f t="shared" si="5"/>
        <v>-1094856000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911</v>
      </c>
      <c r="H8" s="36">
        <f t="shared" si="2"/>
        <v>0</v>
      </c>
      <c r="I8" s="11">
        <f t="shared" si="3"/>
        <v>-182200000</v>
      </c>
      <c r="J8" s="53">
        <f t="shared" si="4"/>
        <v>0</v>
      </c>
      <c r="K8" s="53">
        <f t="shared" si="5"/>
        <v>-182200000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909</v>
      </c>
      <c r="H9" s="36">
        <f t="shared" si="2"/>
        <v>0</v>
      </c>
      <c r="I9" s="11">
        <f t="shared" si="3"/>
        <v>-641299500</v>
      </c>
      <c r="J9" s="53">
        <f t="shared" si="4"/>
        <v>0</v>
      </c>
      <c r="K9" s="53">
        <f t="shared" si="5"/>
        <v>-641299500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900</v>
      </c>
      <c r="H10" s="36">
        <f t="shared" si="2"/>
        <v>0</v>
      </c>
      <c r="I10" s="11">
        <f t="shared" si="3"/>
        <v>-180000000</v>
      </c>
      <c r="J10" s="53">
        <f t="shared" si="4"/>
        <v>0</v>
      </c>
      <c r="K10" s="53">
        <f t="shared" si="5"/>
        <v>-180000000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900</v>
      </c>
      <c r="H11" s="36">
        <f t="shared" si="2"/>
        <v>1</v>
      </c>
      <c r="I11" s="11">
        <f t="shared" si="3"/>
        <v>899000000</v>
      </c>
      <c r="J11" s="53">
        <f t="shared" si="4"/>
        <v>0</v>
      </c>
      <c r="K11" s="53">
        <f t="shared" si="5"/>
        <v>899000000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896</v>
      </c>
      <c r="H12" s="36">
        <f t="shared" si="2"/>
        <v>0</v>
      </c>
      <c r="I12" s="11">
        <f t="shared" si="3"/>
        <v>-268800000</v>
      </c>
      <c r="J12" s="53">
        <f t="shared" si="4"/>
        <v>0</v>
      </c>
      <c r="K12" s="53">
        <f t="shared" si="5"/>
        <v>-268800000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891</v>
      </c>
      <c r="H13" s="36">
        <f t="shared" si="2"/>
        <v>0</v>
      </c>
      <c r="I13" s="11">
        <f t="shared" si="3"/>
        <v>-55242000</v>
      </c>
      <c r="J13" s="53">
        <f t="shared" si="4"/>
        <v>0</v>
      </c>
      <c r="K13" s="53">
        <f t="shared" si="5"/>
        <v>-55242000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891</v>
      </c>
      <c r="H14" s="36">
        <f t="shared" si="2"/>
        <v>1</v>
      </c>
      <c r="I14" s="11">
        <f t="shared" si="3"/>
        <v>1780000000</v>
      </c>
      <c r="J14" s="53">
        <f t="shared" si="4"/>
        <v>0</v>
      </c>
      <c r="K14" s="53">
        <f t="shared" si="5"/>
        <v>1780000000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890</v>
      </c>
      <c r="H15" s="36">
        <f t="shared" si="2"/>
        <v>1</v>
      </c>
      <c r="I15" s="11">
        <f t="shared" si="3"/>
        <v>1600200000</v>
      </c>
      <c r="J15" s="53">
        <f t="shared" si="4"/>
        <v>0</v>
      </c>
      <c r="K15" s="53">
        <f t="shared" si="5"/>
        <v>1600200000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890</v>
      </c>
      <c r="H16" s="36">
        <f t="shared" si="2"/>
        <v>0</v>
      </c>
      <c r="I16" s="11">
        <f t="shared" si="3"/>
        <v>-178000000</v>
      </c>
      <c r="J16" s="53">
        <f t="shared" si="4"/>
        <v>0</v>
      </c>
      <c r="K16" s="53">
        <f t="shared" si="5"/>
        <v>-178000000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886</v>
      </c>
      <c r="H17" s="36">
        <f t="shared" si="2"/>
        <v>0</v>
      </c>
      <c r="I17" s="11">
        <f t="shared" si="3"/>
        <v>-1772000000</v>
      </c>
      <c r="J17" s="53">
        <f t="shared" si="4"/>
        <v>0</v>
      </c>
      <c r="K17" s="53">
        <f t="shared" si="5"/>
        <v>-1772000000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885</v>
      </c>
      <c r="H18" s="36">
        <f t="shared" si="2"/>
        <v>0</v>
      </c>
      <c r="I18" s="11">
        <f t="shared" si="3"/>
        <v>-265500000</v>
      </c>
      <c r="J18" s="53">
        <f t="shared" si="4"/>
        <v>0</v>
      </c>
      <c r="K18" s="53">
        <f t="shared" si="5"/>
        <v>-265500000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884</v>
      </c>
      <c r="H19" s="36">
        <f t="shared" si="2"/>
        <v>0</v>
      </c>
      <c r="I19" s="11">
        <f t="shared" si="3"/>
        <v>-176800000</v>
      </c>
      <c r="J19" s="53">
        <f t="shared" si="4"/>
        <v>0</v>
      </c>
      <c r="K19" s="53">
        <f t="shared" si="5"/>
        <v>-176800000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882</v>
      </c>
      <c r="H20" s="36">
        <f t="shared" si="2"/>
        <v>1</v>
      </c>
      <c r="I20" s="11">
        <f t="shared" si="3"/>
        <v>238829409</v>
      </c>
      <c r="J20" s="53">
        <f t="shared" si="4"/>
        <v>129905212</v>
      </c>
      <c r="K20" s="53">
        <f t="shared" si="5"/>
        <v>108924197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880</v>
      </c>
      <c r="H21" s="36">
        <f t="shared" si="2"/>
        <v>0</v>
      </c>
      <c r="I21" s="11">
        <f t="shared" si="3"/>
        <v>-1325016000</v>
      </c>
      <c r="J21" s="53">
        <f t="shared" si="4"/>
        <v>0</v>
      </c>
      <c r="K21" s="53">
        <f t="shared" si="5"/>
        <v>-1325016000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877</v>
      </c>
      <c r="H22" s="36">
        <f t="shared" si="2"/>
        <v>1</v>
      </c>
      <c r="I22" s="11">
        <f t="shared" si="3"/>
        <v>2628000000</v>
      </c>
      <c r="J22" s="53">
        <f t="shared" si="4"/>
        <v>0</v>
      </c>
      <c r="K22" s="53">
        <f t="shared" si="5"/>
        <v>2628000000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876</v>
      </c>
      <c r="H23" s="36">
        <f t="shared" si="2"/>
        <v>1</v>
      </c>
      <c r="I23" s="11">
        <f t="shared" si="3"/>
        <v>875000000</v>
      </c>
      <c r="J23" s="53">
        <f t="shared" si="4"/>
        <v>0</v>
      </c>
      <c r="K23" s="53">
        <f t="shared" si="5"/>
        <v>875000000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875</v>
      </c>
      <c r="H24" s="36">
        <f t="shared" si="2"/>
        <v>0</v>
      </c>
      <c r="I24" s="11">
        <f t="shared" si="3"/>
        <v>-2625787500</v>
      </c>
      <c r="J24" s="53">
        <f t="shared" si="4"/>
        <v>0</v>
      </c>
      <c r="K24" s="53">
        <f t="shared" si="5"/>
        <v>-2625787500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860</v>
      </c>
      <c r="H25" s="36">
        <f t="shared" si="2"/>
        <v>1</v>
      </c>
      <c r="I25" s="11">
        <f t="shared" si="3"/>
        <v>1288500000</v>
      </c>
      <c r="J25" s="53">
        <f t="shared" si="4"/>
        <v>0</v>
      </c>
      <c r="K25" s="53">
        <f t="shared" si="5"/>
        <v>1288500000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852</v>
      </c>
      <c r="H26" s="36">
        <f t="shared" si="2"/>
        <v>0</v>
      </c>
      <c r="I26" s="11">
        <f t="shared" si="3"/>
        <v>-139728000</v>
      </c>
      <c r="J26" s="53">
        <f t="shared" si="4"/>
        <v>0</v>
      </c>
      <c r="K26" s="53">
        <f t="shared" si="5"/>
        <v>-139728000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851</v>
      </c>
      <c r="H27" s="36">
        <f t="shared" si="2"/>
        <v>1</v>
      </c>
      <c r="I27" s="11">
        <f t="shared" si="3"/>
        <v>169484050</v>
      </c>
      <c r="J27" s="53">
        <f t="shared" si="4"/>
        <v>91301050</v>
      </c>
      <c r="K27" s="53">
        <f t="shared" si="5"/>
        <v>78183000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849</v>
      </c>
      <c r="H28" s="36">
        <f t="shared" si="2"/>
        <v>0</v>
      </c>
      <c r="I28" s="11">
        <f t="shared" si="3"/>
        <v>-187629000</v>
      </c>
      <c r="J28" s="53">
        <f t="shared" si="4"/>
        <v>-187629000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849</v>
      </c>
      <c r="H29" s="36">
        <f t="shared" si="2"/>
        <v>0</v>
      </c>
      <c r="I29" s="11">
        <f t="shared" si="3"/>
        <v>-424924500</v>
      </c>
      <c r="J29" s="53">
        <f t="shared" si="4"/>
        <v>0</v>
      </c>
      <c r="K29" s="53">
        <f t="shared" si="5"/>
        <v>-424924500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849</v>
      </c>
      <c r="H30" s="36">
        <f t="shared" si="2"/>
        <v>0</v>
      </c>
      <c r="I30" s="11">
        <f t="shared" si="3"/>
        <v>-12735000000</v>
      </c>
      <c r="J30" s="53">
        <f t="shared" si="4"/>
        <v>-12735000000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832</v>
      </c>
      <c r="H31" s="36">
        <f t="shared" si="2"/>
        <v>0</v>
      </c>
      <c r="I31" s="11">
        <f t="shared" si="3"/>
        <v>-2505068800</v>
      </c>
      <c r="J31" s="53">
        <f t="shared" si="4"/>
        <v>0</v>
      </c>
      <c r="K31" s="53">
        <f t="shared" si="5"/>
        <v>-2505068800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830</v>
      </c>
      <c r="H32" s="36">
        <f t="shared" si="2"/>
        <v>0</v>
      </c>
      <c r="I32" s="11">
        <f t="shared" si="3"/>
        <v>-2494897000</v>
      </c>
      <c r="J32" s="53">
        <f t="shared" si="4"/>
        <v>0</v>
      </c>
      <c r="K32" s="53">
        <f t="shared" si="5"/>
        <v>-2494897000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829</v>
      </c>
      <c r="H33" s="36">
        <f t="shared" si="2"/>
        <v>0</v>
      </c>
      <c r="I33" s="11">
        <f t="shared" si="3"/>
        <v>-742369500</v>
      </c>
      <c r="J33" s="53">
        <f t="shared" si="4"/>
        <v>0</v>
      </c>
      <c r="K33" s="53">
        <f t="shared" si="5"/>
        <v>-742369500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829</v>
      </c>
      <c r="H34" s="36">
        <f t="shared" si="2"/>
        <v>0</v>
      </c>
      <c r="I34" s="11">
        <f t="shared" si="3"/>
        <v>0</v>
      </c>
      <c r="J34" s="53">
        <f t="shared" si="4"/>
        <v>829000000</v>
      </c>
      <c r="K34" s="53">
        <f t="shared" si="5"/>
        <v>-829000000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820</v>
      </c>
      <c r="H35" s="36">
        <f t="shared" si="2"/>
        <v>1</v>
      </c>
      <c r="I35" s="11">
        <f t="shared" si="3"/>
        <v>42974568</v>
      </c>
      <c r="J35" s="53">
        <f t="shared" si="4"/>
        <v>-17741997</v>
      </c>
      <c r="K35" s="53">
        <f t="shared" si="5"/>
        <v>60716565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820</v>
      </c>
      <c r="H36" s="36">
        <f t="shared" si="2"/>
        <v>0</v>
      </c>
      <c r="I36" s="11">
        <f t="shared" si="3"/>
        <v>0</v>
      </c>
      <c r="J36" s="53">
        <f t="shared" si="4"/>
        <v>17763660</v>
      </c>
      <c r="K36" s="53">
        <f t="shared" si="5"/>
        <v>-17763660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810</v>
      </c>
      <c r="H37" s="36">
        <f t="shared" si="2"/>
        <v>0</v>
      </c>
      <c r="I37" s="11">
        <f t="shared" si="3"/>
        <v>-44550000</v>
      </c>
      <c r="J37" s="53">
        <f t="shared" si="4"/>
        <v>0</v>
      </c>
      <c r="K37" s="53">
        <f t="shared" si="5"/>
        <v>-44550000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809</v>
      </c>
      <c r="H38" s="36">
        <f t="shared" si="2"/>
        <v>1</v>
      </c>
      <c r="I38" s="11">
        <f t="shared" si="3"/>
        <v>2424000000</v>
      </c>
      <c r="J38" s="53">
        <f t="shared" si="4"/>
        <v>2424000000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808</v>
      </c>
      <c r="H39" s="36">
        <f t="shared" si="2"/>
        <v>1</v>
      </c>
      <c r="I39" s="11">
        <f t="shared" si="3"/>
        <v>2017500000</v>
      </c>
      <c r="J39" s="53">
        <f t="shared" si="4"/>
        <v>2017500000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808</v>
      </c>
      <c r="H40" s="36">
        <f t="shared" si="2"/>
        <v>0</v>
      </c>
      <c r="I40" s="11">
        <f t="shared" si="3"/>
        <v>-40400000</v>
      </c>
      <c r="J40" s="53">
        <f t="shared" si="4"/>
        <v>0</v>
      </c>
      <c r="K40" s="53">
        <f t="shared" si="5"/>
        <v>-40400000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808</v>
      </c>
      <c r="H41" s="36">
        <f t="shared" si="2"/>
        <v>1</v>
      </c>
      <c r="I41" s="11">
        <f t="shared" si="3"/>
        <v>2421000000</v>
      </c>
      <c r="J41" s="53">
        <f t="shared" si="4"/>
        <v>0</v>
      </c>
      <c r="K41" s="53">
        <f t="shared" si="5"/>
        <v>2421000000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805</v>
      </c>
      <c r="H42" s="36">
        <f t="shared" si="2"/>
        <v>0</v>
      </c>
      <c r="I42" s="11">
        <f t="shared" si="3"/>
        <v>-71806000</v>
      </c>
      <c r="J42" s="53">
        <f t="shared" si="4"/>
        <v>0</v>
      </c>
      <c r="K42" s="53">
        <f t="shared" si="5"/>
        <v>-71806000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801</v>
      </c>
      <c r="H43" s="36">
        <f t="shared" si="2"/>
        <v>0</v>
      </c>
      <c r="I43" s="11">
        <f t="shared" si="3"/>
        <v>-160200000</v>
      </c>
      <c r="J43" s="53">
        <f t="shared" si="4"/>
        <v>0</v>
      </c>
      <c r="K43" s="53">
        <f t="shared" si="5"/>
        <v>-160200000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799</v>
      </c>
      <c r="H44" s="36">
        <f t="shared" si="2"/>
        <v>0</v>
      </c>
      <c r="I44" s="11">
        <f t="shared" si="3"/>
        <v>-159800000</v>
      </c>
      <c r="J44" s="53">
        <f t="shared" si="4"/>
        <v>0</v>
      </c>
      <c r="K44" s="53">
        <f t="shared" si="5"/>
        <v>-159800000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799</v>
      </c>
      <c r="H45" s="36">
        <f t="shared" si="2"/>
        <v>0</v>
      </c>
      <c r="I45" s="11">
        <f t="shared" si="3"/>
        <v>-447440000</v>
      </c>
      <c r="J45" s="53">
        <f t="shared" si="4"/>
        <v>0</v>
      </c>
      <c r="K45" s="53">
        <f t="shared" si="5"/>
        <v>-447440000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795</v>
      </c>
      <c r="H46" s="36">
        <f t="shared" si="2"/>
        <v>0</v>
      </c>
      <c r="I46" s="11">
        <f t="shared" si="3"/>
        <v>-560872500</v>
      </c>
      <c r="J46" s="53">
        <f t="shared" si="4"/>
        <v>0</v>
      </c>
      <c r="K46" s="53">
        <f t="shared" si="5"/>
        <v>-560872500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789</v>
      </c>
      <c r="H47" s="36">
        <f t="shared" si="2"/>
        <v>1</v>
      </c>
      <c r="I47" s="11">
        <f t="shared" si="3"/>
        <v>32468752</v>
      </c>
      <c r="J47" s="53">
        <f t="shared" si="4"/>
        <v>5289844</v>
      </c>
      <c r="K47" s="53">
        <f t="shared" si="5"/>
        <v>27178908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789</v>
      </c>
      <c r="H48" s="36">
        <f t="shared" si="2"/>
        <v>1</v>
      </c>
      <c r="I48" s="11">
        <f t="shared" si="3"/>
        <v>1343303600</v>
      </c>
      <c r="J48" s="53">
        <f t="shared" si="4"/>
        <v>0</v>
      </c>
      <c r="K48" s="53">
        <f t="shared" si="5"/>
        <v>1343303600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780</v>
      </c>
      <c r="H49" s="36">
        <f t="shared" si="2"/>
        <v>0</v>
      </c>
      <c r="I49" s="11">
        <f t="shared" si="3"/>
        <v>-120900000</v>
      </c>
      <c r="J49" s="53">
        <f t="shared" si="4"/>
        <v>0</v>
      </c>
      <c r="K49" s="53">
        <f t="shared" si="5"/>
        <v>-120900000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780</v>
      </c>
      <c r="H50" s="36">
        <f t="shared" si="2"/>
        <v>0</v>
      </c>
      <c r="I50" s="11">
        <f t="shared" si="3"/>
        <v>-107640000</v>
      </c>
      <c r="J50" s="53">
        <f t="shared" si="4"/>
        <v>0</v>
      </c>
      <c r="K50" s="53">
        <f t="shared" si="5"/>
        <v>-107640000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780</v>
      </c>
      <c r="H51" s="36">
        <f t="shared" si="2"/>
        <v>0</v>
      </c>
      <c r="I51" s="11">
        <f t="shared" si="3"/>
        <v>-577200000</v>
      </c>
      <c r="J51" s="53">
        <f t="shared" si="4"/>
        <v>0</v>
      </c>
      <c r="K51" s="53">
        <f t="shared" si="5"/>
        <v>-577200000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780</v>
      </c>
      <c r="H52" s="36">
        <f t="shared" si="2"/>
        <v>0</v>
      </c>
      <c r="I52" s="11">
        <f t="shared" si="3"/>
        <v>-156000000</v>
      </c>
      <c r="J52" s="53">
        <f t="shared" si="4"/>
        <v>0</v>
      </c>
      <c r="K52" s="53">
        <f t="shared" si="5"/>
        <v>-156000000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779</v>
      </c>
      <c r="H53" s="36">
        <f t="shared" si="2"/>
        <v>0</v>
      </c>
      <c r="I53" s="11">
        <f t="shared" si="3"/>
        <v>-821845000</v>
      </c>
      <c r="J53" s="53">
        <f t="shared" si="4"/>
        <v>0</v>
      </c>
      <c r="K53" s="53">
        <f t="shared" si="5"/>
        <v>-821845000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779</v>
      </c>
      <c r="H54" s="36">
        <f t="shared" si="2"/>
        <v>0</v>
      </c>
      <c r="I54" s="11">
        <f t="shared" si="3"/>
        <v>-155800000</v>
      </c>
      <c r="J54" s="53">
        <f t="shared" si="4"/>
        <v>0</v>
      </c>
      <c r="K54" s="53">
        <f t="shared" si="5"/>
        <v>-155800000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779</v>
      </c>
      <c r="H55" s="36">
        <f t="shared" si="2"/>
        <v>0</v>
      </c>
      <c r="I55" s="11">
        <f t="shared" si="3"/>
        <v>-779389500</v>
      </c>
      <c r="J55" s="53">
        <f t="shared" si="4"/>
        <v>0</v>
      </c>
      <c r="K55" s="53">
        <f t="shared" si="5"/>
        <v>-779389500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779</v>
      </c>
      <c r="H56" s="36">
        <f t="shared" si="2"/>
        <v>0</v>
      </c>
      <c r="I56" s="11">
        <f t="shared" si="3"/>
        <v>-29602000</v>
      </c>
      <c r="J56" s="53">
        <f t="shared" si="4"/>
        <v>0</v>
      </c>
      <c r="K56" s="53">
        <f t="shared" si="5"/>
        <v>-29602000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779</v>
      </c>
      <c r="H57" s="36">
        <f t="shared" si="2"/>
        <v>0</v>
      </c>
      <c r="I57" s="11">
        <f t="shared" si="3"/>
        <v>-81795000</v>
      </c>
      <c r="J57" s="53">
        <f t="shared" si="4"/>
        <v>0</v>
      </c>
      <c r="K57" s="53">
        <f t="shared" si="5"/>
        <v>-81795000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779</v>
      </c>
      <c r="H58" s="36">
        <f t="shared" si="2"/>
        <v>0</v>
      </c>
      <c r="I58" s="11">
        <f t="shared" si="3"/>
        <v>-46740000</v>
      </c>
      <c r="J58" s="53">
        <f t="shared" si="4"/>
        <v>0</v>
      </c>
      <c r="K58" s="53">
        <f t="shared" si="5"/>
        <v>-46740000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776</v>
      </c>
      <c r="H59" s="36">
        <f t="shared" si="2"/>
        <v>1</v>
      </c>
      <c r="I59" s="11">
        <f t="shared" si="3"/>
        <v>775000000</v>
      </c>
      <c r="J59" s="53">
        <f t="shared" si="4"/>
        <v>775000000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775</v>
      </c>
      <c r="H60" s="36">
        <f t="shared" si="2"/>
        <v>1</v>
      </c>
      <c r="I60" s="11">
        <f t="shared" si="3"/>
        <v>2709000000</v>
      </c>
      <c r="J60" s="53">
        <f t="shared" si="4"/>
        <v>2709000000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773</v>
      </c>
      <c r="H61" s="36">
        <f t="shared" si="2"/>
        <v>1</v>
      </c>
      <c r="I61" s="11">
        <f t="shared" si="3"/>
        <v>772000000</v>
      </c>
      <c r="J61" s="53">
        <f t="shared" si="4"/>
        <v>772000000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773</v>
      </c>
      <c r="H62" s="36">
        <f t="shared" si="2"/>
        <v>1</v>
      </c>
      <c r="I62" s="11">
        <f t="shared" si="3"/>
        <v>2316000000</v>
      </c>
      <c r="J62" s="53">
        <f t="shared" si="4"/>
        <v>2316000000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771</v>
      </c>
      <c r="H63" s="36">
        <f t="shared" si="2"/>
        <v>0</v>
      </c>
      <c r="I63" s="11">
        <f t="shared" si="3"/>
        <v>-154200000</v>
      </c>
      <c r="J63" s="53">
        <f t="shared" si="4"/>
        <v>0</v>
      </c>
      <c r="K63" s="53">
        <f t="shared" si="5"/>
        <v>-154200000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766</v>
      </c>
      <c r="H64" s="36">
        <f t="shared" si="2"/>
        <v>0</v>
      </c>
      <c r="I64" s="11">
        <f t="shared" si="3"/>
        <v>-38300000</v>
      </c>
      <c r="J64" s="53">
        <f t="shared" si="4"/>
        <v>0</v>
      </c>
      <c r="K64" s="53">
        <f t="shared" si="5"/>
        <v>-38300000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762</v>
      </c>
      <c r="H65" s="36">
        <f t="shared" si="2"/>
        <v>0</v>
      </c>
      <c r="I65" s="11">
        <f t="shared" si="3"/>
        <v>-152400000</v>
      </c>
      <c r="J65" s="53">
        <f t="shared" si="4"/>
        <v>0</v>
      </c>
      <c r="K65" s="53">
        <f t="shared" si="5"/>
        <v>-152400000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759</v>
      </c>
      <c r="H66" s="36">
        <f t="shared" si="2"/>
        <v>0</v>
      </c>
      <c r="I66" s="11">
        <f t="shared" si="3"/>
        <v>-129030000</v>
      </c>
      <c r="J66" s="53">
        <f t="shared" si="4"/>
        <v>0</v>
      </c>
      <c r="K66" s="53">
        <f t="shared" si="5"/>
        <v>-129030000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758</v>
      </c>
      <c r="H67" s="36">
        <f t="shared" ref="H67:H131" si="8">IF(B67&gt;0,1,0)</f>
        <v>1</v>
      </c>
      <c r="I67" s="11">
        <f t="shared" ref="I67:I119" si="9">B67*(G67-H67)</f>
        <v>69133025</v>
      </c>
      <c r="J67" s="53">
        <f t="shared" ref="J67:J131" si="10">C67*(G67-H67)</f>
        <v>49752311</v>
      </c>
      <c r="K67" s="53">
        <f t="shared" ref="K67:K131" si="11">D67*(G67-H67)</f>
        <v>19380714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740</v>
      </c>
      <c r="H68" s="36">
        <f t="shared" si="8"/>
        <v>0</v>
      </c>
      <c r="I68" s="11">
        <f t="shared" si="9"/>
        <v>-107300000</v>
      </c>
      <c r="J68" s="53">
        <f t="shared" si="10"/>
        <v>0</v>
      </c>
      <c r="K68" s="53">
        <f t="shared" si="11"/>
        <v>-107300000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733</v>
      </c>
      <c r="H69" s="36">
        <f t="shared" si="8"/>
        <v>1</v>
      </c>
      <c r="I69" s="11">
        <f t="shared" si="9"/>
        <v>717360000</v>
      </c>
      <c r="J69" s="53">
        <f t="shared" si="10"/>
        <v>0</v>
      </c>
      <c r="K69" s="53">
        <f t="shared" si="11"/>
        <v>717360000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730</v>
      </c>
      <c r="H70" s="36">
        <f t="shared" si="8"/>
        <v>0</v>
      </c>
      <c r="I70" s="11">
        <f t="shared" si="9"/>
        <v>-33580000</v>
      </c>
      <c r="J70" s="53">
        <f t="shared" si="10"/>
        <v>0</v>
      </c>
      <c r="K70" s="53">
        <f t="shared" si="11"/>
        <v>-33580000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728</v>
      </c>
      <c r="H71" s="36">
        <f t="shared" si="8"/>
        <v>1</v>
      </c>
      <c r="I71" s="11">
        <f t="shared" si="9"/>
        <v>83850726</v>
      </c>
      <c r="J71" s="53">
        <f t="shared" si="10"/>
        <v>75471324</v>
      </c>
      <c r="K71" s="53">
        <f t="shared" si="11"/>
        <v>8379402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727</v>
      </c>
      <c r="H72" s="36">
        <f t="shared" si="8"/>
        <v>0</v>
      </c>
      <c r="I72" s="11">
        <f t="shared" si="9"/>
        <v>-110481463</v>
      </c>
      <c r="J72" s="53">
        <f t="shared" si="10"/>
        <v>0</v>
      </c>
      <c r="K72" s="53">
        <f t="shared" si="11"/>
        <v>-110481463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726</v>
      </c>
      <c r="H73" s="36">
        <f t="shared" si="8"/>
        <v>0</v>
      </c>
      <c r="I73" s="11">
        <f t="shared" si="9"/>
        <v>-584793000</v>
      </c>
      <c r="J73" s="53">
        <f t="shared" si="10"/>
        <v>0</v>
      </c>
      <c r="K73" s="53">
        <f t="shared" si="11"/>
        <v>-584793000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719</v>
      </c>
      <c r="H74" s="36">
        <f t="shared" si="8"/>
        <v>1</v>
      </c>
      <c r="I74" s="11">
        <f t="shared" si="9"/>
        <v>5022410000</v>
      </c>
      <c r="J74" s="53">
        <f t="shared" si="10"/>
        <v>0</v>
      </c>
      <c r="K74" s="53">
        <f t="shared" si="11"/>
        <v>5022410000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718</v>
      </c>
      <c r="H75" s="36">
        <f t="shared" si="8"/>
        <v>1</v>
      </c>
      <c r="I75" s="11">
        <f t="shared" si="9"/>
        <v>2151000000</v>
      </c>
      <c r="J75" s="53">
        <f t="shared" si="10"/>
        <v>0</v>
      </c>
      <c r="K75" s="53">
        <f t="shared" si="11"/>
        <v>2151000000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716</v>
      </c>
      <c r="H76" s="36">
        <f t="shared" si="8"/>
        <v>1</v>
      </c>
      <c r="I76" s="11">
        <f t="shared" si="9"/>
        <v>2145000000</v>
      </c>
      <c r="J76" s="53">
        <f t="shared" si="10"/>
        <v>0</v>
      </c>
      <c r="K76" s="53">
        <f t="shared" si="11"/>
        <v>2145000000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715</v>
      </c>
      <c r="H77" s="36">
        <f t="shared" si="8"/>
        <v>1</v>
      </c>
      <c r="I77" s="11">
        <f t="shared" si="9"/>
        <v>2142000000</v>
      </c>
      <c r="J77" s="53">
        <f t="shared" si="10"/>
        <v>0</v>
      </c>
      <c r="K77" s="53">
        <f t="shared" si="11"/>
        <v>2142000000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714</v>
      </c>
      <c r="H78" s="36">
        <f t="shared" si="8"/>
        <v>0</v>
      </c>
      <c r="I78" s="11">
        <f t="shared" si="9"/>
        <v>-2284800000</v>
      </c>
      <c r="J78" s="53">
        <f t="shared" si="10"/>
        <v>-2284800000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713</v>
      </c>
      <c r="H79" s="36">
        <f t="shared" si="8"/>
        <v>0</v>
      </c>
      <c r="I79" s="11">
        <f t="shared" si="9"/>
        <v>-570400000</v>
      </c>
      <c r="J79" s="53">
        <f t="shared" si="10"/>
        <v>-570400000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712</v>
      </c>
      <c r="H80" s="36">
        <f t="shared" si="8"/>
        <v>0</v>
      </c>
      <c r="I80" s="11">
        <f t="shared" si="9"/>
        <v>-34455816</v>
      </c>
      <c r="J80" s="53">
        <f t="shared" si="10"/>
        <v>0</v>
      </c>
      <c r="K80" s="53">
        <f t="shared" si="11"/>
        <v>-34455816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711</v>
      </c>
      <c r="H81" s="36">
        <f t="shared" si="8"/>
        <v>0</v>
      </c>
      <c r="I81" s="11">
        <f t="shared" si="9"/>
        <v>-99540000</v>
      </c>
      <c r="J81" s="53">
        <f t="shared" si="10"/>
        <v>0</v>
      </c>
      <c r="K81" s="53">
        <f t="shared" si="11"/>
        <v>-99540000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710</v>
      </c>
      <c r="H82" s="36">
        <f t="shared" si="8"/>
        <v>0</v>
      </c>
      <c r="I82" s="11">
        <f t="shared" si="9"/>
        <v>-177500000</v>
      </c>
      <c r="J82" s="53">
        <f t="shared" si="10"/>
        <v>0</v>
      </c>
      <c r="K82" s="53">
        <f t="shared" si="11"/>
        <v>-177500000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709</v>
      </c>
      <c r="H83" s="36">
        <f t="shared" si="8"/>
        <v>0</v>
      </c>
      <c r="I83" s="11">
        <f t="shared" si="9"/>
        <v>-141800000</v>
      </c>
      <c r="J83" s="53">
        <f t="shared" si="10"/>
        <v>0</v>
      </c>
      <c r="K83" s="53">
        <f t="shared" si="11"/>
        <v>-141800000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706</v>
      </c>
      <c r="H84" s="36">
        <f t="shared" si="8"/>
        <v>1</v>
      </c>
      <c r="I84" s="11">
        <f t="shared" si="9"/>
        <v>1152816000</v>
      </c>
      <c r="J84" s="53">
        <f t="shared" si="10"/>
        <v>0</v>
      </c>
      <c r="K84" s="53">
        <f t="shared" si="11"/>
        <v>1152816000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702</v>
      </c>
      <c r="H85" s="36">
        <f t="shared" si="8"/>
        <v>1</v>
      </c>
      <c r="I85" s="11">
        <f t="shared" si="9"/>
        <v>1752500000</v>
      </c>
      <c r="J85" s="53">
        <f t="shared" si="10"/>
        <v>0</v>
      </c>
      <c r="K85" s="53">
        <f t="shared" si="11"/>
        <v>1752500000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698</v>
      </c>
      <c r="H86" s="36">
        <f t="shared" si="8"/>
        <v>1</v>
      </c>
      <c r="I86" s="11">
        <f t="shared" si="9"/>
        <v>129851100</v>
      </c>
      <c r="J86" s="53">
        <f t="shared" si="10"/>
        <v>59210150</v>
      </c>
      <c r="K86" s="53">
        <f t="shared" si="11"/>
        <v>70640950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695</v>
      </c>
      <c r="H87" s="36">
        <f t="shared" si="8"/>
        <v>0</v>
      </c>
      <c r="I87" s="11">
        <f t="shared" si="9"/>
        <v>-139000000</v>
      </c>
      <c r="J87" s="53">
        <f t="shared" si="10"/>
        <v>0</v>
      </c>
      <c r="K87" s="53">
        <f t="shared" si="11"/>
        <v>-139000000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694</v>
      </c>
      <c r="H88" s="36">
        <f t="shared" si="8"/>
        <v>0</v>
      </c>
      <c r="I88" s="11">
        <f t="shared" si="9"/>
        <v>-81892000</v>
      </c>
      <c r="J88" s="53">
        <f t="shared" si="10"/>
        <v>-47886000</v>
      </c>
      <c r="K88" s="53">
        <f t="shared" si="11"/>
        <v>-34006000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686</v>
      </c>
      <c r="H89" s="36">
        <f t="shared" si="8"/>
        <v>0</v>
      </c>
      <c r="I89" s="11">
        <f t="shared" si="9"/>
        <v>-2195817400</v>
      </c>
      <c r="J89" s="53">
        <f t="shared" si="10"/>
        <v>0</v>
      </c>
      <c r="K89" s="53">
        <f t="shared" si="11"/>
        <v>-2195817400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685</v>
      </c>
      <c r="H90" s="36">
        <f t="shared" si="8"/>
        <v>0</v>
      </c>
      <c r="I90" s="11">
        <f t="shared" si="9"/>
        <v>-2192616500</v>
      </c>
      <c r="J90" s="53">
        <f t="shared" si="10"/>
        <v>0</v>
      </c>
      <c r="K90" s="53">
        <f t="shared" si="11"/>
        <v>-2192616500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684</v>
      </c>
      <c r="H91" s="36">
        <f t="shared" si="8"/>
        <v>0</v>
      </c>
      <c r="I91" s="11">
        <f t="shared" si="9"/>
        <v>-2189415600</v>
      </c>
      <c r="J91" s="53">
        <f t="shared" si="10"/>
        <v>0</v>
      </c>
      <c r="K91" s="53">
        <f t="shared" si="11"/>
        <v>-2189415600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683</v>
      </c>
      <c r="H92" s="36">
        <f t="shared" si="8"/>
        <v>0</v>
      </c>
      <c r="I92" s="11">
        <f t="shared" si="9"/>
        <v>-2186214700</v>
      </c>
      <c r="J92" s="53">
        <f t="shared" si="10"/>
        <v>0</v>
      </c>
      <c r="K92" s="53">
        <f t="shared" si="11"/>
        <v>-2186214700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682</v>
      </c>
      <c r="H93" s="36">
        <f t="shared" si="8"/>
        <v>0</v>
      </c>
      <c r="I93" s="11">
        <f t="shared" si="9"/>
        <v>-2183013800</v>
      </c>
      <c r="J93" s="53">
        <f t="shared" si="10"/>
        <v>0</v>
      </c>
      <c r="K93" s="53">
        <f t="shared" si="11"/>
        <v>-2183013800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681</v>
      </c>
      <c r="H94" s="36">
        <f t="shared" si="8"/>
        <v>0</v>
      </c>
      <c r="I94" s="11">
        <f t="shared" si="9"/>
        <v>-2179812900</v>
      </c>
      <c r="J94" s="53">
        <f t="shared" si="10"/>
        <v>0</v>
      </c>
      <c r="K94" s="53">
        <f t="shared" si="11"/>
        <v>-2179812900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679</v>
      </c>
      <c r="H95" s="36">
        <f t="shared" si="8"/>
        <v>0</v>
      </c>
      <c r="I95" s="11">
        <f t="shared" si="9"/>
        <v>-812488684</v>
      </c>
      <c r="J95" s="53">
        <f t="shared" si="10"/>
        <v>0</v>
      </c>
      <c r="K95" s="53">
        <f t="shared" si="11"/>
        <v>-812488684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669</v>
      </c>
      <c r="H96" s="36">
        <f t="shared" si="8"/>
        <v>0</v>
      </c>
      <c r="I96" s="11">
        <f t="shared" si="9"/>
        <v>-133800000</v>
      </c>
      <c r="J96" s="53">
        <f t="shared" si="10"/>
        <v>0</v>
      </c>
      <c r="K96" s="53">
        <f t="shared" si="11"/>
        <v>-133800000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668</v>
      </c>
      <c r="H97" s="36">
        <f t="shared" si="8"/>
        <v>1</v>
      </c>
      <c r="I97" s="11">
        <f t="shared" si="9"/>
        <v>106425186</v>
      </c>
      <c r="J97" s="53">
        <f t="shared" si="10"/>
        <v>45973642</v>
      </c>
      <c r="K97" s="53">
        <f t="shared" si="11"/>
        <v>60451544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663</v>
      </c>
      <c r="H98" s="36">
        <f t="shared" si="8"/>
        <v>1</v>
      </c>
      <c r="I98" s="11">
        <f t="shared" si="9"/>
        <v>75711616</v>
      </c>
      <c r="J98" s="53">
        <f t="shared" si="10"/>
        <v>0</v>
      </c>
      <c r="K98" s="53">
        <f t="shared" si="11"/>
        <v>75711616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660</v>
      </c>
      <c r="H99" s="36">
        <f t="shared" si="8"/>
        <v>0</v>
      </c>
      <c r="I99" s="11">
        <f t="shared" si="9"/>
        <v>-874500000</v>
      </c>
      <c r="J99" s="53">
        <f t="shared" si="10"/>
        <v>0</v>
      </c>
      <c r="K99" s="53">
        <f t="shared" si="11"/>
        <v>-874500000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655</v>
      </c>
      <c r="H100" s="36">
        <f t="shared" si="8"/>
        <v>1</v>
      </c>
      <c r="I100" s="11">
        <f t="shared" si="9"/>
        <v>866550000</v>
      </c>
      <c r="J100" s="53">
        <f t="shared" si="10"/>
        <v>0</v>
      </c>
      <c r="K100" s="53">
        <f t="shared" si="11"/>
        <v>866550000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638</v>
      </c>
      <c r="H101" s="36">
        <f t="shared" si="8"/>
        <v>1</v>
      </c>
      <c r="I101" s="11">
        <f t="shared" si="9"/>
        <v>42580265</v>
      </c>
      <c r="J101" s="53">
        <f t="shared" si="10"/>
        <v>42580265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635</v>
      </c>
      <c r="H102" s="36">
        <f t="shared" si="8"/>
        <v>1</v>
      </c>
      <c r="I102" s="11">
        <f t="shared" si="9"/>
        <v>1902000000</v>
      </c>
      <c r="J102" s="53">
        <f t="shared" si="10"/>
        <v>0</v>
      </c>
      <c r="K102" s="53">
        <f t="shared" si="11"/>
        <v>1902000000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628</v>
      </c>
      <c r="H103" s="36">
        <f t="shared" si="8"/>
        <v>0</v>
      </c>
      <c r="I103" s="11">
        <f t="shared" si="9"/>
        <v>-628000000</v>
      </c>
      <c r="J103" s="53">
        <f t="shared" si="10"/>
        <v>-628000000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618</v>
      </c>
      <c r="H104" s="36">
        <f t="shared" si="8"/>
        <v>1</v>
      </c>
      <c r="I104" s="11">
        <f t="shared" si="9"/>
        <v>1851000000</v>
      </c>
      <c r="J104" s="53">
        <f t="shared" si="10"/>
        <v>1851000000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617</v>
      </c>
      <c r="H105" s="36">
        <f t="shared" si="8"/>
        <v>1</v>
      </c>
      <c r="I105" s="11">
        <f t="shared" si="9"/>
        <v>689920000</v>
      </c>
      <c r="J105" s="53">
        <f t="shared" si="10"/>
        <v>689920000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617</v>
      </c>
      <c r="H106" s="36">
        <f t="shared" si="8"/>
        <v>0</v>
      </c>
      <c r="I106" s="11">
        <f t="shared" si="9"/>
        <v>-1851000000</v>
      </c>
      <c r="J106" s="53">
        <f t="shared" si="10"/>
        <v>0</v>
      </c>
      <c r="K106" s="53">
        <f t="shared" si="11"/>
        <v>-1851000000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608</v>
      </c>
      <c r="H107" s="36">
        <f t="shared" si="8"/>
        <v>1</v>
      </c>
      <c r="I107" s="11">
        <f t="shared" si="9"/>
        <v>54929858</v>
      </c>
      <c r="J107" s="53">
        <f t="shared" si="10"/>
        <v>45594805</v>
      </c>
      <c r="K107" s="53">
        <f t="shared" si="11"/>
        <v>9335053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606</v>
      </c>
      <c r="H108" s="36">
        <f t="shared" si="8"/>
        <v>0</v>
      </c>
      <c r="I108" s="11">
        <f t="shared" si="9"/>
        <v>-1030624200</v>
      </c>
      <c r="J108" s="53">
        <f t="shared" si="10"/>
        <v>0</v>
      </c>
      <c r="K108" s="53">
        <f t="shared" si="11"/>
        <v>-1030624200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602</v>
      </c>
      <c r="H109" s="36">
        <f t="shared" si="8"/>
        <v>0</v>
      </c>
      <c r="I109" s="11">
        <f t="shared" si="9"/>
        <v>-602301000</v>
      </c>
      <c r="J109" s="53">
        <f t="shared" si="10"/>
        <v>0</v>
      </c>
      <c r="K109" s="53">
        <f t="shared" si="11"/>
        <v>-602301000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599</v>
      </c>
      <c r="H110" s="36">
        <f t="shared" si="8"/>
        <v>1</v>
      </c>
      <c r="I110" s="11">
        <f t="shared" si="9"/>
        <v>11960000000</v>
      </c>
      <c r="J110" s="53">
        <f t="shared" si="10"/>
        <v>0</v>
      </c>
      <c r="K110" s="53">
        <f t="shared" si="11"/>
        <v>11960000000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579</v>
      </c>
      <c r="H111" s="36">
        <f t="shared" si="8"/>
        <v>1</v>
      </c>
      <c r="I111" s="11">
        <f t="shared" si="9"/>
        <v>100963884</v>
      </c>
      <c r="J111" s="53">
        <f t="shared" si="10"/>
        <v>50495814</v>
      </c>
      <c r="K111" s="53">
        <f t="shared" si="11"/>
        <v>50468070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563</v>
      </c>
      <c r="H112" s="36">
        <f t="shared" si="8"/>
        <v>0</v>
      </c>
      <c r="I112" s="11">
        <f t="shared" si="9"/>
        <v>-15989200000</v>
      </c>
      <c r="J112" s="53">
        <f t="shared" si="10"/>
        <v>0</v>
      </c>
      <c r="K112" s="53">
        <f t="shared" si="11"/>
        <v>-15989200000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548</v>
      </c>
      <c r="H113" s="36">
        <f t="shared" si="8"/>
        <v>1</v>
      </c>
      <c r="I113" s="11">
        <f t="shared" si="9"/>
        <v>89182880</v>
      </c>
      <c r="J113" s="53">
        <f t="shared" si="10"/>
        <v>67013517</v>
      </c>
      <c r="K113" s="53">
        <f t="shared" si="11"/>
        <v>22169363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548</v>
      </c>
      <c r="H114" s="36">
        <f t="shared" si="8"/>
        <v>0</v>
      </c>
      <c r="I114" s="11">
        <f t="shared" si="9"/>
        <v>-3123600</v>
      </c>
      <c r="J114" s="53">
        <f t="shared" si="10"/>
        <v>-1370000</v>
      </c>
      <c r="K114" s="53">
        <f t="shared" si="11"/>
        <v>-1753600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535</v>
      </c>
      <c r="H115" s="36">
        <f t="shared" si="8"/>
        <v>0</v>
      </c>
      <c r="I115" s="11">
        <f t="shared" si="9"/>
        <v>0</v>
      </c>
      <c r="J115" s="53">
        <f t="shared" si="10"/>
        <v>267500000</v>
      </c>
      <c r="K115" s="53">
        <f t="shared" si="11"/>
        <v>-267500000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527</v>
      </c>
      <c r="H116" s="36">
        <f t="shared" si="8"/>
        <v>0</v>
      </c>
      <c r="I116" s="11">
        <f t="shared" si="9"/>
        <v>-84320000</v>
      </c>
      <c r="J116" s="53">
        <f t="shared" si="10"/>
        <v>0</v>
      </c>
      <c r="K116" s="53">
        <f t="shared" si="11"/>
        <v>-84320000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518</v>
      </c>
      <c r="H117" s="36">
        <f t="shared" si="8"/>
        <v>1</v>
      </c>
      <c r="I117" s="11">
        <f t="shared" si="9"/>
        <v>765160</v>
      </c>
      <c r="J117" s="53">
        <f t="shared" si="10"/>
        <v>55288497</v>
      </c>
      <c r="K117" s="53">
        <f t="shared" si="11"/>
        <v>-54523337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496</v>
      </c>
      <c r="H118" s="36">
        <f t="shared" si="8"/>
        <v>1</v>
      </c>
      <c r="I118" s="11">
        <f t="shared" si="9"/>
        <v>19502752500</v>
      </c>
      <c r="J118" s="53">
        <f t="shared" si="10"/>
        <v>0</v>
      </c>
      <c r="K118" s="53">
        <f t="shared" si="11"/>
        <v>19502752500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487</v>
      </c>
      <c r="H119" s="36">
        <f t="shared" si="8"/>
        <v>1</v>
      </c>
      <c r="I119" s="11">
        <f t="shared" si="9"/>
        <v>46423206</v>
      </c>
      <c r="J119" s="53">
        <f t="shared" si="10"/>
        <v>53486244</v>
      </c>
      <c r="K119" s="53">
        <f t="shared" si="11"/>
        <v>-7063038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483</v>
      </c>
      <c r="H120" s="11">
        <f t="shared" si="8"/>
        <v>1</v>
      </c>
      <c r="I120" s="11">
        <f t="shared" ref="I120:I266" si="13">B120*(G120-H120)</f>
        <v>964000000</v>
      </c>
      <c r="J120" s="11">
        <f t="shared" si="10"/>
        <v>0</v>
      </c>
      <c r="K120" s="11">
        <f t="shared" si="11"/>
        <v>964000000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457</v>
      </c>
      <c r="H121" s="11">
        <f t="shared" si="8"/>
        <v>1</v>
      </c>
      <c r="I121" s="11">
        <f t="shared" si="13"/>
        <v>1185600000</v>
      </c>
      <c r="J121" s="11">
        <f t="shared" si="10"/>
        <v>0</v>
      </c>
      <c r="K121" s="11">
        <f t="shared" si="11"/>
        <v>1185600000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456</v>
      </c>
      <c r="H122" s="11">
        <f t="shared" si="8"/>
        <v>1</v>
      </c>
      <c r="I122" s="11">
        <f t="shared" si="13"/>
        <v>174970705</v>
      </c>
      <c r="J122" s="11">
        <f t="shared" si="10"/>
        <v>50463140</v>
      </c>
      <c r="K122" s="11">
        <f t="shared" si="11"/>
        <v>124507565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455</v>
      </c>
      <c r="H123" s="11">
        <f t="shared" si="8"/>
        <v>0</v>
      </c>
      <c r="I123" s="11">
        <f t="shared" si="13"/>
        <v>0</v>
      </c>
      <c r="J123" s="11">
        <f t="shared" si="10"/>
        <v>364000000</v>
      </c>
      <c r="K123" s="11">
        <f t="shared" si="11"/>
        <v>-364000000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441</v>
      </c>
      <c r="H124" s="11">
        <f t="shared" si="8"/>
        <v>0</v>
      </c>
      <c r="I124" s="11">
        <f t="shared" si="13"/>
        <v>-1323000000</v>
      </c>
      <c r="J124" s="11">
        <f t="shared" si="10"/>
        <v>0</v>
      </c>
      <c r="K124" s="11">
        <f t="shared" si="11"/>
        <v>-1323000000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426</v>
      </c>
      <c r="H125" s="11">
        <f t="shared" si="8"/>
        <v>1</v>
      </c>
      <c r="I125" s="11">
        <f t="shared" si="13"/>
        <v>170301750</v>
      </c>
      <c r="J125" s="11">
        <f t="shared" si="10"/>
        <v>50521875</v>
      </c>
      <c r="K125" s="11">
        <f t="shared" si="11"/>
        <v>119779875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426</v>
      </c>
      <c r="H126" s="11">
        <f t="shared" si="8"/>
        <v>1</v>
      </c>
      <c r="I126" s="11">
        <f t="shared" si="13"/>
        <v>17850000000</v>
      </c>
      <c r="J126" s="11">
        <f t="shared" si="10"/>
        <v>0</v>
      </c>
      <c r="K126" s="11">
        <f t="shared" si="11"/>
        <v>17850000000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401</v>
      </c>
      <c r="H127" s="11">
        <f t="shared" si="8"/>
        <v>0</v>
      </c>
      <c r="I127" s="11">
        <f t="shared" si="13"/>
        <v>-2005000</v>
      </c>
      <c r="J127" s="11">
        <f t="shared" si="10"/>
        <v>0</v>
      </c>
      <c r="K127" s="11">
        <f t="shared" si="11"/>
        <v>-2005000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395</v>
      </c>
      <c r="H128" s="11">
        <f t="shared" si="8"/>
        <v>1</v>
      </c>
      <c r="I128" s="11">
        <f t="shared" si="13"/>
        <v>303921356</v>
      </c>
      <c r="J128" s="11">
        <f t="shared" si="10"/>
        <v>47554618</v>
      </c>
      <c r="K128" s="11">
        <f t="shared" si="11"/>
        <v>256366738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392</v>
      </c>
      <c r="H129" s="11">
        <f t="shared" si="8"/>
        <v>1</v>
      </c>
      <c r="I129" s="11">
        <f t="shared" si="13"/>
        <v>977500000</v>
      </c>
      <c r="J129" s="11">
        <f t="shared" si="10"/>
        <v>0</v>
      </c>
      <c r="K129" s="11">
        <f t="shared" si="11"/>
        <v>977500000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378</v>
      </c>
      <c r="H130" s="11">
        <f t="shared" si="8"/>
        <v>0</v>
      </c>
      <c r="I130" s="11">
        <f t="shared" si="13"/>
        <v>-378000000</v>
      </c>
      <c r="J130" s="11">
        <f t="shared" si="10"/>
        <v>-378000000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373</v>
      </c>
      <c r="H131" s="11">
        <f t="shared" si="8"/>
        <v>0</v>
      </c>
      <c r="I131" s="11">
        <f t="shared" si="13"/>
        <v>-18650000000</v>
      </c>
      <c r="J131" s="11">
        <f t="shared" si="10"/>
        <v>0</v>
      </c>
      <c r="K131" s="11">
        <f t="shared" si="11"/>
        <v>-18650000000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365</v>
      </c>
      <c r="H132" s="11">
        <f t="shared" ref="H132:H266" si="15">IF(B132&gt;0,1,0)</f>
        <v>1</v>
      </c>
      <c r="I132" s="11">
        <f t="shared" si="13"/>
        <v>223600468</v>
      </c>
      <c r="J132" s="11">
        <f t="shared" ref="J132:J206" si="16">C132*(G132-H132)</f>
        <v>38573444</v>
      </c>
      <c r="K132" s="11">
        <f t="shared" ref="K132:K266" si="17">D132*(G132-H132)</f>
        <v>185027024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361</v>
      </c>
      <c r="H133" s="11">
        <f t="shared" si="15"/>
        <v>0</v>
      </c>
      <c r="I133" s="11">
        <f t="shared" si="13"/>
        <v>-437062700</v>
      </c>
      <c r="J133" s="11">
        <f t="shared" si="16"/>
        <v>0</v>
      </c>
      <c r="K133" s="11">
        <f t="shared" si="17"/>
        <v>-437062700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352</v>
      </c>
      <c r="H134" s="11">
        <f t="shared" si="15"/>
        <v>0</v>
      </c>
      <c r="I134" s="11">
        <f t="shared" si="13"/>
        <v>-22880000</v>
      </c>
      <c r="J134" s="11">
        <f t="shared" si="16"/>
        <v>0</v>
      </c>
      <c r="K134" s="11">
        <f t="shared" si="17"/>
        <v>-22880000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352</v>
      </c>
      <c r="H135" s="11">
        <f t="shared" si="15"/>
        <v>0</v>
      </c>
      <c r="I135" s="11">
        <f t="shared" si="13"/>
        <v>-11369600</v>
      </c>
      <c r="J135" s="11">
        <f t="shared" si="16"/>
        <v>0</v>
      </c>
      <c r="K135" s="11">
        <f t="shared" si="17"/>
        <v>-11369600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344</v>
      </c>
      <c r="H136" s="11">
        <f t="shared" si="15"/>
        <v>0</v>
      </c>
      <c r="I136" s="11">
        <f t="shared" si="13"/>
        <v>-344000000</v>
      </c>
      <c r="J136" s="11">
        <f t="shared" si="16"/>
        <v>-344000000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335</v>
      </c>
      <c r="H137" s="11">
        <f t="shared" si="15"/>
        <v>1</v>
      </c>
      <c r="I137" s="11">
        <f t="shared" si="13"/>
        <v>97151582</v>
      </c>
      <c r="J137" s="11">
        <f t="shared" si="16"/>
        <v>32517906</v>
      </c>
      <c r="K137" s="11">
        <f t="shared" si="17"/>
        <v>64633676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318</v>
      </c>
      <c r="H138" s="11">
        <f t="shared" si="15"/>
        <v>0</v>
      </c>
      <c r="I138" s="11">
        <f t="shared" si="13"/>
        <v>-318159000</v>
      </c>
      <c r="J138" s="11">
        <f t="shared" si="16"/>
        <v>-318159000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306</v>
      </c>
      <c r="H139" s="11">
        <f t="shared" si="15"/>
        <v>1</v>
      </c>
      <c r="I139" s="11">
        <f t="shared" si="13"/>
        <v>86083200</v>
      </c>
      <c r="J139" s="11">
        <f t="shared" si="16"/>
        <v>27086135</v>
      </c>
      <c r="K139" s="11">
        <f t="shared" si="17"/>
        <v>58997065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303</v>
      </c>
      <c r="H140" s="11">
        <f t="shared" si="15"/>
        <v>1</v>
      </c>
      <c r="I140" s="11">
        <f t="shared" si="13"/>
        <v>453000000</v>
      </c>
      <c r="J140" s="11">
        <f t="shared" si="16"/>
        <v>0</v>
      </c>
      <c r="K140" s="11">
        <f t="shared" si="17"/>
        <v>453000000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290</v>
      </c>
      <c r="H141" s="11">
        <f t="shared" si="15"/>
        <v>0</v>
      </c>
      <c r="I141" s="11">
        <f t="shared" si="13"/>
        <v>0</v>
      </c>
      <c r="J141" s="11">
        <f t="shared" si="16"/>
        <v>-290000000</v>
      </c>
      <c r="K141" s="11">
        <f t="shared" si="17"/>
        <v>290000000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276</v>
      </c>
      <c r="H142" s="11">
        <f t="shared" si="15"/>
        <v>1</v>
      </c>
      <c r="I142" s="11">
        <f t="shared" si="13"/>
        <v>79995575</v>
      </c>
      <c r="J142" s="11">
        <f t="shared" si="16"/>
        <v>22281050</v>
      </c>
      <c r="K142" s="11">
        <f t="shared" si="17"/>
        <v>57714525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256</v>
      </c>
      <c r="H143" s="11">
        <f t="shared" si="15"/>
        <v>0</v>
      </c>
      <c r="I143" s="11">
        <f t="shared" si="13"/>
        <v>0</v>
      </c>
      <c r="J143" s="11">
        <f t="shared" si="16"/>
        <v>-256000000</v>
      </c>
      <c r="K143" s="11">
        <f t="shared" si="17"/>
        <v>256000000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246</v>
      </c>
      <c r="H144" s="11">
        <f t="shared" si="15"/>
        <v>1</v>
      </c>
      <c r="I144" s="11">
        <f t="shared" si="13"/>
        <v>72238740</v>
      </c>
      <c r="J144" s="11">
        <f t="shared" si="16"/>
        <v>18290965</v>
      </c>
      <c r="K144" s="11">
        <f t="shared" si="17"/>
        <v>53947775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231</v>
      </c>
      <c r="H145" s="11">
        <f t="shared" si="15"/>
        <v>0</v>
      </c>
      <c r="I145" s="11">
        <f t="shared" si="13"/>
        <v>-2310000</v>
      </c>
      <c r="J145" s="11">
        <f t="shared" si="16"/>
        <v>-1155000</v>
      </c>
      <c r="K145" s="11">
        <f t="shared" si="17"/>
        <v>-1155000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226</v>
      </c>
      <c r="H146" s="11">
        <f t="shared" si="15"/>
        <v>0</v>
      </c>
      <c r="I146" s="11">
        <f t="shared" si="13"/>
        <v>-226113000</v>
      </c>
      <c r="J146" s="11">
        <f t="shared" si="16"/>
        <v>-226113000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220</v>
      </c>
      <c r="H147" s="11">
        <f t="shared" si="15"/>
        <v>0</v>
      </c>
      <c r="I147" s="11">
        <f t="shared" si="13"/>
        <v>-5940000000</v>
      </c>
      <c r="J147" s="11">
        <f t="shared" si="16"/>
        <v>0</v>
      </c>
      <c r="K147" s="11">
        <f t="shared" si="17"/>
        <v>-5940000000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217</v>
      </c>
      <c r="H148" s="11">
        <f t="shared" si="15"/>
        <v>1</v>
      </c>
      <c r="I148" s="11">
        <f t="shared" si="13"/>
        <v>54526176</v>
      </c>
      <c r="J148" s="11">
        <f t="shared" si="16"/>
        <v>14150160</v>
      </c>
      <c r="K148" s="11">
        <f t="shared" si="17"/>
        <v>40376016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209</v>
      </c>
      <c r="H149" s="11">
        <f t="shared" si="15"/>
        <v>1</v>
      </c>
      <c r="I149" s="11">
        <f t="shared" si="13"/>
        <v>10899200000</v>
      </c>
      <c r="J149" s="11">
        <f t="shared" si="16"/>
        <v>0</v>
      </c>
      <c r="K149" s="11">
        <f t="shared" si="17"/>
        <v>10899200000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202</v>
      </c>
      <c r="H150" s="11">
        <f t="shared" si="15"/>
        <v>0</v>
      </c>
      <c r="I150" s="11">
        <f t="shared" si="13"/>
        <v>-10504000000</v>
      </c>
      <c r="J150" s="11">
        <f t="shared" si="16"/>
        <v>0</v>
      </c>
      <c r="K150" s="11">
        <f t="shared" si="17"/>
        <v>-10504000000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197</v>
      </c>
      <c r="H151" s="99">
        <f t="shared" si="15"/>
        <v>0</v>
      </c>
      <c r="I151" s="99">
        <f t="shared" si="13"/>
        <v>-1576000000</v>
      </c>
      <c r="J151" s="99">
        <f t="shared" si="16"/>
        <v>-1334109807</v>
      </c>
      <c r="K151" s="11">
        <f t="shared" si="17"/>
        <v>-241890193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197</v>
      </c>
      <c r="H152" s="99">
        <f t="shared" si="15"/>
        <v>0</v>
      </c>
      <c r="I152" s="99">
        <f t="shared" si="13"/>
        <v>-6152310</v>
      </c>
      <c r="J152" s="99">
        <f t="shared" si="16"/>
        <v>0</v>
      </c>
      <c r="K152" s="99">
        <f t="shared" si="17"/>
        <v>-6152310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186</v>
      </c>
      <c r="H153" s="99">
        <f t="shared" si="15"/>
        <v>1</v>
      </c>
      <c r="I153" s="99">
        <f t="shared" si="13"/>
        <v>24991095</v>
      </c>
      <c r="J153" s="99">
        <f t="shared" si="16"/>
        <v>7609050</v>
      </c>
      <c r="K153" s="99">
        <f t="shared" si="17"/>
        <v>17382045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183</v>
      </c>
      <c r="H154" s="99">
        <f t="shared" si="15"/>
        <v>1</v>
      </c>
      <c r="I154" s="99">
        <f t="shared" si="13"/>
        <v>1241982924</v>
      </c>
      <c r="J154" s="99">
        <f t="shared" si="16"/>
        <v>1241982924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178</v>
      </c>
      <c r="H155" s="99">
        <f t="shared" si="15"/>
        <v>0</v>
      </c>
      <c r="I155" s="99">
        <f t="shared" si="13"/>
        <v>-35600000</v>
      </c>
      <c r="J155" s="99">
        <f t="shared" si="16"/>
        <v>0</v>
      </c>
      <c r="K155" s="99">
        <f t="shared" si="17"/>
        <v>-35600000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178</v>
      </c>
      <c r="H156" s="99">
        <f t="shared" si="15"/>
        <v>0</v>
      </c>
      <c r="I156" s="99">
        <f t="shared" si="13"/>
        <v>-44115520</v>
      </c>
      <c r="J156" s="99">
        <f t="shared" si="16"/>
        <v>0</v>
      </c>
      <c r="K156" s="99">
        <f t="shared" si="17"/>
        <v>-44115520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177</v>
      </c>
      <c r="H157" s="99">
        <f t="shared" si="15"/>
        <v>0</v>
      </c>
      <c r="I157" s="99">
        <f t="shared" si="13"/>
        <v>-28734180</v>
      </c>
      <c r="J157" s="99">
        <f t="shared" si="16"/>
        <v>0</v>
      </c>
      <c r="K157" s="99">
        <f t="shared" si="17"/>
        <v>-28734180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177</v>
      </c>
      <c r="H158" s="99">
        <f t="shared" si="15"/>
        <v>0</v>
      </c>
      <c r="I158" s="99">
        <f t="shared" si="13"/>
        <v>-531159300</v>
      </c>
      <c r="J158" s="99">
        <f t="shared" si="16"/>
        <v>0</v>
      </c>
      <c r="K158" s="99">
        <f t="shared" si="17"/>
        <v>-531159300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175</v>
      </c>
      <c r="H159" s="99">
        <f t="shared" si="15"/>
        <v>0</v>
      </c>
      <c r="I159" s="99">
        <f t="shared" si="13"/>
        <v>-175087500</v>
      </c>
      <c r="J159" s="99">
        <f t="shared" si="16"/>
        <v>0</v>
      </c>
      <c r="K159" s="99">
        <f t="shared" si="17"/>
        <v>-175087500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171</v>
      </c>
      <c r="H160" s="99">
        <f t="shared" si="15"/>
        <v>0</v>
      </c>
      <c r="I160" s="99">
        <f t="shared" si="13"/>
        <v>-17100000</v>
      </c>
      <c r="J160" s="99">
        <f t="shared" si="16"/>
        <v>0</v>
      </c>
      <c r="K160" s="99">
        <f t="shared" si="17"/>
        <v>-17100000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170</v>
      </c>
      <c r="H161" s="99">
        <f t="shared" si="15"/>
        <v>0</v>
      </c>
      <c r="I161" s="99">
        <f t="shared" si="13"/>
        <v>-340000000</v>
      </c>
      <c r="J161" s="99">
        <f t="shared" si="16"/>
        <v>0</v>
      </c>
      <c r="K161" s="99">
        <f t="shared" si="17"/>
        <v>-340000000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170</v>
      </c>
      <c r="H162" s="99">
        <f t="shared" si="15"/>
        <v>0</v>
      </c>
      <c r="I162" s="99">
        <f t="shared" si="13"/>
        <v>-170085000</v>
      </c>
      <c r="J162" s="99">
        <f t="shared" si="16"/>
        <v>0</v>
      </c>
      <c r="K162" s="99">
        <f t="shared" si="17"/>
        <v>-170085000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167</v>
      </c>
      <c r="H163" s="99">
        <f t="shared" si="15"/>
        <v>0</v>
      </c>
      <c r="I163" s="99">
        <f t="shared" si="13"/>
        <v>-835000</v>
      </c>
      <c r="J163" s="99">
        <f t="shared" si="16"/>
        <v>0</v>
      </c>
      <c r="K163" s="99">
        <f t="shared" si="17"/>
        <v>-835000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157</v>
      </c>
      <c r="H164" s="99">
        <f t="shared" si="15"/>
        <v>1</v>
      </c>
      <c r="I164" s="99">
        <f t="shared" si="13"/>
        <v>468000000</v>
      </c>
      <c r="J164" s="99">
        <f t="shared" si="16"/>
        <v>0</v>
      </c>
      <c r="K164" s="99">
        <f t="shared" si="17"/>
        <v>468000000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156</v>
      </c>
      <c r="H165" s="99">
        <f t="shared" si="15"/>
        <v>1</v>
      </c>
      <c r="I165" s="99">
        <f t="shared" si="13"/>
        <v>465000000</v>
      </c>
      <c r="J165" s="99">
        <f t="shared" si="16"/>
        <v>0</v>
      </c>
      <c r="K165" s="99">
        <f t="shared" si="17"/>
        <v>465000000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155</v>
      </c>
      <c r="H166" s="99">
        <f t="shared" si="15"/>
        <v>1</v>
      </c>
      <c r="I166" s="99">
        <f t="shared" si="13"/>
        <v>3128356</v>
      </c>
      <c r="J166" s="99">
        <f t="shared" si="16"/>
        <v>9215668</v>
      </c>
      <c r="K166" s="99">
        <f t="shared" si="17"/>
        <v>-6087312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150</v>
      </c>
      <c r="H167" s="99">
        <f t="shared" si="15"/>
        <v>0</v>
      </c>
      <c r="I167" s="99">
        <f t="shared" si="13"/>
        <v>-450135000</v>
      </c>
      <c r="J167" s="99">
        <f t="shared" si="16"/>
        <v>0</v>
      </c>
      <c r="K167" s="99">
        <f t="shared" si="17"/>
        <v>-450135000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132</v>
      </c>
      <c r="H168" s="99">
        <f t="shared" si="15"/>
        <v>0</v>
      </c>
      <c r="I168" s="99">
        <f t="shared" si="13"/>
        <v>-396118800</v>
      </c>
      <c r="J168" s="99">
        <f t="shared" si="16"/>
        <v>0</v>
      </c>
      <c r="K168" s="99">
        <f t="shared" si="17"/>
        <v>-396118800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124</v>
      </c>
      <c r="H169" s="99">
        <f t="shared" si="15"/>
        <v>1</v>
      </c>
      <c r="I169" s="99">
        <f t="shared" si="13"/>
        <v>2669715</v>
      </c>
      <c r="J169" s="99">
        <f t="shared" si="16"/>
        <v>8427345</v>
      </c>
      <c r="K169" s="99">
        <f t="shared" si="17"/>
        <v>-5757630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100</v>
      </c>
      <c r="H170" s="99">
        <f t="shared" si="15"/>
        <v>1</v>
      </c>
      <c r="I170" s="99">
        <f t="shared" si="13"/>
        <v>495000000</v>
      </c>
      <c r="J170" s="99">
        <f t="shared" si="16"/>
        <v>0</v>
      </c>
      <c r="K170" s="99">
        <f t="shared" si="17"/>
        <v>495000000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99</v>
      </c>
      <c r="H171" s="99">
        <f t="shared" si="15"/>
        <v>0</v>
      </c>
      <c r="I171" s="99">
        <f t="shared" si="13"/>
        <v>-495000000</v>
      </c>
      <c r="J171" s="99">
        <f t="shared" si="16"/>
        <v>0</v>
      </c>
      <c r="K171" s="99">
        <f t="shared" si="17"/>
        <v>-495000000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93</v>
      </c>
      <c r="H172" s="99">
        <f t="shared" si="15"/>
        <v>1</v>
      </c>
      <c r="I172" s="99">
        <f t="shared" si="13"/>
        <v>45632</v>
      </c>
      <c r="J172" s="99">
        <f t="shared" si="16"/>
        <v>5766652</v>
      </c>
      <c r="K172" s="99">
        <f t="shared" si="17"/>
        <v>-5721020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92</v>
      </c>
      <c r="H173" s="99">
        <f t="shared" si="15"/>
        <v>1</v>
      </c>
      <c r="I173" s="99">
        <f t="shared" si="13"/>
        <v>71435000</v>
      </c>
      <c r="J173" s="99">
        <f t="shared" si="16"/>
        <v>0</v>
      </c>
      <c r="K173" s="99">
        <f t="shared" si="17"/>
        <v>71435000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81</v>
      </c>
      <c r="H174" s="99">
        <f t="shared" si="15"/>
        <v>0</v>
      </c>
      <c r="I174" s="99">
        <f t="shared" si="13"/>
        <v>-2592000</v>
      </c>
      <c r="J174" s="99">
        <f t="shared" si="16"/>
        <v>0</v>
      </c>
      <c r="K174" s="99">
        <f t="shared" si="17"/>
        <v>-2592000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79</v>
      </c>
      <c r="H175" s="99">
        <f t="shared" si="15"/>
        <v>0</v>
      </c>
      <c r="I175" s="99">
        <f t="shared" si="13"/>
        <v>-59250000</v>
      </c>
      <c r="J175" s="99">
        <f t="shared" si="16"/>
        <v>0</v>
      </c>
      <c r="K175" s="99">
        <f t="shared" si="17"/>
        <v>-59250000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70</v>
      </c>
      <c r="H176" s="99">
        <f t="shared" si="15"/>
        <v>0</v>
      </c>
      <c r="I176" s="99">
        <f t="shared" si="13"/>
        <v>-657720</v>
      </c>
      <c r="J176" s="99">
        <f t="shared" si="16"/>
        <v>0</v>
      </c>
      <c r="K176" s="99">
        <f t="shared" si="17"/>
        <v>-657720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69</v>
      </c>
      <c r="H177" s="99">
        <f t="shared" si="15"/>
        <v>0</v>
      </c>
      <c r="I177" s="99">
        <f t="shared" si="13"/>
        <v>-2987700</v>
      </c>
      <c r="J177" s="99">
        <f t="shared" si="16"/>
        <v>0</v>
      </c>
      <c r="K177" s="99">
        <f t="shared" si="17"/>
        <v>-2987700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66</v>
      </c>
      <c r="H178" s="99">
        <f t="shared" si="15"/>
        <v>1</v>
      </c>
      <c r="I178" s="99">
        <f t="shared" si="13"/>
        <v>23400000</v>
      </c>
      <c r="J178" s="99">
        <f t="shared" si="16"/>
        <v>0</v>
      </c>
      <c r="K178" s="99">
        <f t="shared" si="17"/>
        <v>23400000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64</v>
      </c>
      <c r="H179" s="99">
        <f t="shared" si="15"/>
        <v>1</v>
      </c>
      <c r="I179" s="99">
        <f t="shared" si="13"/>
        <v>189000000</v>
      </c>
      <c r="J179" s="99">
        <f t="shared" si="16"/>
        <v>0</v>
      </c>
      <c r="K179" s="99">
        <f t="shared" si="17"/>
        <v>189000000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64</v>
      </c>
      <c r="H180" s="99">
        <f t="shared" si="15"/>
        <v>0</v>
      </c>
      <c r="I180" s="99">
        <f t="shared" si="13"/>
        <v>-771200</v>
      </c>
      <c r="J180" s="99">
        <f t="shared" si="16"/>
        <v>0</v>
      </c>
      <c r="K180" s="99">
        <f t="shared" si="17"/>
        <v>-771200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62</v>
      </c>
      <c r="H181" s="99">
        <f t="shared" si="15"/>
        <v>1</v>
      </c>
      <c r="I181" s="99">
        <f t="shared" si="13"/>
        <v>183000000</v>
      </c>
      <c r="J181" s="99">
        <f t="shared" si="16"/>
        <v>0</v>
      </c>
      <c r="K181" s="99">
        <f t="shared" si="17"/>
        <v>183000000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60</v>
      </c>
      <c r="H182" s="99">
        <f t="shared" si="15"/>
        <v>0</v>
      </c>
      <c r="I182" s="99">
        <f t="shared" si="13"/>
        <v>-2148000</v>
      </c>
      <c r="J182" s="99">
        <f t="shared" si="16"/>
        <v>0</v>
      </c>
      <c r="K182" s="99">
        <f t="shared" si="17"/>
        <v>-2148000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59</v>
      </c>
      <c r="H183" s="99">
        <f t="shared" si="15"/>
        <v>1</v>
      </c>
      <c r="I183" s="99">
        <f t="shared" si="13"/>
        <v>208800000</v>
      </c>
      <c r="J183" s="99">
        <f t="shared" si="16"/>
        <v>0</v>
      </c>
      <c r="K183" s="99">
        <f t="shared" si="17"/>
        <v>208800000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59</v>
      </c>
      <c r="H184" s="99">
        <f t="shared" si="15"/>
        <v>0</v>
      </c>
      <c r="I184" s="99">
        <f t="shared" si="13"/>
        <v>-1969243</v>
      </c>
      <c r="J184" s="99">
        <f t="shared" si="16"/>
        <v>0</v>
      </c>
      <c r="K184" s="99">
        <f t="shared" si="17"/>
        <v>-1969243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56</v>
      </c>
      <c r="H185" s="99">
        <f t="shared" si="15"/>
        <v>0</v>
      </c>
      <c r="I185" s="99">
        <f t="shared" si="13"/>
        <v>-548800000</v>
      </c>
      <c r="J185" s="99">
        <f t="shared" si="16"/>
        <v>0</v>
      </c>
      <c r="K185" s="99">
        <f t="shared" si="17"/>
        <v>-548800000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56</v>
      </c>
      <c r="H186" s="99">
        <f t="shared" si="15"/>
        <v>1</v>
      </c>
      <c r="I186" s="99">
        <f t="shared" si="13"/>
        <v>990000000</v>
      </c>
      <c r="J186" s="99">
        <f t="shared" si="16"/>
        <v>0</v>
      </c>
      <c r="K186" s="99">
        <f t="shared" si="17"/>
        <v>990000000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56</v>
      </c>
      <c r="H187" s="99">
        <f t="shared" si="15"/>
        <v>0</v>
      </c>
      <c r="I187" s="99">
        <f t="shared" si="13"/>
        <v>-504000000</v>
      </c>
      <c r="J187" s="99">
        <f t="shared" si="16"/>
        <v>0</v>
      </c>
      <c r="K187" s="99">
        <f t="shared" si="17"/>
        <v>-504000000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56</v>
      </c>
      <c r="H188" s="99">
        <f t="shared" si="15"/>
        <v>0</v>
      </c>
      <c r="I188" s="99">
        <f t="shared" si="13"/>
        <v>-649600</v>
      </c>
      <c r="J188" s="99">
        <f t="shared" si="16"/>
        <v>0</v>
      </c>
      <c r="K188" s="99">
        <f t="shared" si="17"/>
        <v>-649600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56</v>
      </c>
      <c r="H189" s="99">
        <f t="shared" si="15"/>
        <v>0</v>
      </c>
      <c r="I189" s="99">
        <f t="shared" si="13"/>
        <v>-185042312</v>
      </c>
      <c r="J189" s="99">
        <f t="shared" si="16"/>
        <v>0</v>
      </c>
      <c r="K189" s="99">
        <f t="shared" si="17"/>
        <v>-185042312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55</v>
      </c>
      <c r="H190" s="99">
        <f t="shared" si="15"/>
        <v>0</v>
      </c>
      <c r="I190" s="99">
        <f t="shared" si="13"/>
        <v>-165049500</v>
      </c>
      <c r="J190" s="99">
        <f t="shared" si="16"/>
        <v>0</v>
      </c>
      <c r="K190" s="99">
        <f t="shared" si="17"/>
        <v>-165049500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54</v>
      </c>
      <c r="H191" s="99">
        <f t="shared" si="15"/>
        <v>0</v>
      </c>
      <c r="I191" s="99">
        <f t="shared" si="13"/>
        <v>-149088600</v>
      </c>
      <c r="J191" s="99">
        <f t="shared" si="16"/>
        <v>0</v>
      </c>
      <c r="K191" s="99">
        <f t="shared" si="17"/>
        <v>-149088600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49</v>
      </c>
      <c r="H192" s="99">
        <f t="shared" si="15"/>
        <v>1</v>
      </c>
      <c r="I192" s="99">
        <f t="shared" si="13"/>
        <v>48000000</v>
      </c>
      <c r="J192" s="99">
        <f t="shared" si="16"/>
        <v>0</v>
      </c>
      <c r="K192" s="99">
        <f t="shared" si="17"/>
        <v>48000000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48</v>
      </c>
      <c r="H193" s="99">
        <f t="shared" si="15"/>
        <v>0</v>
      </c>
      <c r="I193" s="99">
        <f t="shared" si="13"/>
        <v>-720000</v>
      </c>
      <c r="J193" s="99">
        <f t="shared" si="16"/>
        <v>0</v>
      </c>
      <c r="K193" s="99">
        <f t="shared" si="17"/>
        <v>-720000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46</v>
      </c>
      <c r="H194" s="99">
        <f t="shared" si="15"/>
        <v>0</v>
      </c>
      <c r="I194" s="99">
        <f t="shared" si="13"/>
        <v>-45540000</v>
      </c>
      <c r="J194" s="99">
        <f t="shared" si="16"/>
        <v>0</v>
      </c>
      <c r="K194" s="99">
        <f t="shared" si="17"/>
        <v>-45540000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46</v>
      </c>
      <c r="H195" s="99">
        <f t="shared" si="15"/>
        <v>1</v>
      </c>
      <c r="I195" s="99">
        <f t="shared" si="13"/>
        <v>35235000</v>
      </c>
      <c r="J195" s="99">
        <f t="shared" si="16"/>
        <v>0</v>
      </c>
      <c r="K195" s="99">
        <f t="shared" si="17"/>
        <v>35235000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44</v>
      </c>
      <c r="H196" s="99">
        <f t="shared" si="15"/>
        <v>0</v>
      </c>
      <c r="I196" s="99">
        <f t="shared" si="13"/>
        <v>-33022000</v>
      </c>
      <c r="J196" s="99">
        <f t="shared" si="16"/>
        <v>0</v>
      </c>
      <c r="K196" s="99">
        <f t="shared" si="17"/>
        <v>-33022000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42</v>
      </c>
      <c r="H197" s="99">
        <f t="shared" si="15"/>
        <v>1</v>
      </c>
      <c r="I197" s="99">
        <f t="shared" si="13"/>
        <v>28700000</v>
      </c>
      <c r="J197" s="99">
        <f t="shared" si="16"/>
        <v>0</v>
      </c>
      <c r="K197" s="99">
        <f t="shared" si="17"/>
        <v>28700000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42</v>
      </c>
      <c r="H198" s="99">
        <f t="shared" si="15"/>
        <v>0</v>
      </c>
      <c r="I198" s="99">
        <f t="shared" si="13"/>
        <v>-4158000</v>
      </c>
      <c r="J198" s="99">
        <f t="shared" si="16"/>
        <v>0</v>
      </c>
      <c r="K198" s="99">
        <f t="shared" si="17"/>
        <v>-4158000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41</v>
      </c>
      <c r="H199" s="99">
        <f t="shared" si="15"/>
        <v>0</v>
      </c>
      <c r="I199" s="99">
        <f t="shared" si="13"/>
        <v>-8435750</v>
      </c>
      <c r="J199" s="99">
        <f t="shared" si="16"/>
        <v>0</v>
      </c>
      <c r="K199" s="99">
        <f t="shared" si="17"/>
        <v>-8435750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41</v>
      </c>
      <c r="H200" s="99">
        <f t="shared" si="15"/>
        <v>0</v>
      </c>
      <c r="I200" s="99">
        <f t="shared" si="13"/>
        <v>-3895000</v>
      </c>
      <c r="J200" s="99">
        <f t="shared" si="16"/>
        <v>0</v>
      </c>
      <c r="K200" s="99">
        <f t="shared" si="17"/>
        <v>-3895000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38</v>
      </c>
      <c r="H201" s="99">
        <f t="shared" si="15"/>
        <v>1</v>
      </c>
      <c r="I201" s="99">
        <f t="shared" si="13"/>
        <v>1800050000</v>
      </c>
      <c r="J201" s="99">
        <f t="shared" si="16"/>
        <v>0</v>
      </c>
      <c r="K201" s="99">
        <f t="shared" si="17"/>
        <v>1800050000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38</v>
      </c>
      <c r="H202" s="99">
        <f t="shared" si="15"/>
        <v>0</v>
      </c>
      <c r="I202" s="99">
        <f t="shared" si="13"/>
        <v>-114034200</v>
      </c>
      <c r="J202" s="99">
        <f t="shared" si="16"/>
        <v>0</v>
      </c>
      <c r="K202" s="99">
        <f t="shared" si="17"/>
        <v>-114034200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38</v>
      </c>
      <c r="H203" s="99">
        <f t="shared" si="15"/>
        <v>0</v>
      </c>
      <c r="I203" s="99">
        <f t="shared" si="13"/>
        <v>-190000</v>
      </c>
      <c r="J203" s="99">
        <f t="shared" si="16"/>
        <v>0</v>
      </c>
      <c r="K203" s="99">
        <f t="shared" si="17"/>
        <v>-190000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38</v>
      </c>
      <c r="H204" s="99">
        <f t="shared" si="15"/>
        <v>0</v>
      </c>
      <c r="I204" s="99">
        <f t="shared" si="13"/>
        <v>-1273000000</v>
      </c>
      <c r="J204" s="99">
        <f t="shared" si="16"/>
        <v>0</v>
      </c>
      <c r="K204" s="99">
        <f t="shared" si="17"/>
        <v>-1273000000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37</v>
      </c>
      <c r="H205" s="99">
        <f t="shared" si="15"/>
        <v>0</v>
      </c>
      <c r="I205" s="99">
        <f t="shared" si="13"/>
        <v>-460095000</v>
      </c>
      <c r="J205" s="99">
        <f t="shared" si="16"/>
        <v>0</v>
      </c>
      <c r="K205" s="99">
        <f t="shared" si="17"/>
        <v>-460095000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34</v>
      </c>
      <c r="H206" s="99">
        <f t="shared" si="15"/>
        <v>0</v>
      </c>
      <c r="I206" s="99">
        <f t="shared" si="13"/>
        <v>-629000</v>
      </c>
      <c r="J206" s="99">
        <f t="shared" si="16"/>
        <v>0</v>
      </c>
      <c r="K206" s="99">
        <f t="shared" si="17"/>
        <v>-629000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32</v>
      </c>
      <c r="H207" s="99">
        <f t="shared" si="15"/>
        <v>1</v>
      </c>
      <c r="I207" s="99">
        <f t="shared" si="13"/>
        <v>448880</v>
      </c>
      <c r="J207" s="99">
        <f t="shared" ref="J207:J266" si="20">C207*(G207-H207)</f>
        <v>2197094</v>
      </c>
      <c r="K207" s="99">
        <f t="shared" si="17"/>
        <v>-1748214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31</v>
      </c>
      <c r="H208" s="99">
        <f t="shared" si="15"/>
        <v>1</v>
      </c>
      <c r="I208" s="99">
        <f t="shared" si="13"/>
        <v>24900000</v>
      </c>
      <c r="J208" s="99">
        <f t="shared" si="20"/>
        <v>0</v>
      </c>
      <c r="K208" s="99">
        <f t="shared" si="17"/>
        <v>24900000</v>
      </c>
    </row>
    <row r="209" spans="1:13" x14ac:dyDescent="0.25">
      <c r="A209" s="99" t="s">
        <v>4200</v>
      </c>
      <c r="B209" s="18">
        <v>-52440</v>
      </c>
      <c r="C209" s="18">
        <v>0</v>
      </c>
      <c r="D209" s="18">
        <f t="shared" si="18"/>
        <v>-52440</v>
      </c>
      <c r="E209" s="99" t="s">
        <v>4204</v>
      </c>
      <c r="F209" s="99">
        <v>1</v>
      </c>
      <c r="G209" s="36">
        <f t="shared" si="19"/>
        <v>29</v>
      </c>
      <c r="H209" s="99">
        <f t="shared" si="15"/>
        <v>0</v>
      </c>
      <c r="I209" s="99">
        <f t="shared" si="13"/>
        <v>-1520760</v>
      </c>
      <c r="J209" s="99">
        <f t="shared" si="20"/>
        <v>0</v>
      </c>
      <c r="K209" s="99">
        <f t="shared" si="17"/>
        <v>-1520760</v>
      </c>
    </row>
    <row r="210" spans="1:13" x14ac:dyDescent="0.25">
      <c r="A210" s="99" t="s">
        <v>4205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28</v>
      </c>
      <c r="H210" s="99">
        <f t="shared" si="15"/>
        <v>0</v>
      </c>
      <c r="I210" s="99">
        <f t="shared" si="13"/>
        <v>-1430800</v>
      </c>
      <c r="J210" s="99">
        <f t="shared" si="20"/>
        <v>0</v>
      </c>
      <c r="K210" s="99">
        <f t="shared" si="17"/>
        <v>-1430800</v>
      </c>
    </row>
    <row r="211" spans="1:13" x14ac:dyDescent="0.25">
      <c r="A211" s="99" t="s">
        <v>4206</v>
      </c>
      <c r="B211" s="18">
        <v>-200000</v>
      </c>
      <c r="C211" s="18">
        <v>0</v>
      </c>
      <c r="D211" s="18">
        <f t="shared" si="18"/>
        <v>-200000</v>
      </c>
      <c r="E211" s="99" t="s">
        <v>4207</v>
      </c>
      <c r="F211" s="99">
        <v>1</v>
      </c>
      <c r="G211" s="36">
        <f t="shared" si="19"/>
        <v>27</v>
      </c>
      <c r="H211" s="99">
        <f t="shared" si="15"/>
        <v>0</v>
      </c>
      <c r="I211" s="99">
        <f t="shared" si="13"/>
        <v>-5400000</v>
      </c>
      <c r="J211" s="99">
        <f t="shared" si="20"/>
        <v>0</v>
      </c>
      <c r="K211" s="99">
        <f t="shared" si="17"/>
        <v>-5400000</v>
      </c>
    </row>
    <row r="212" spans="1:13" x14ac:dyDescent="0.25">
      <c r="A212" s="99" t="s">
        <v>4208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26</v>
      </c>
      <c r="H212" s="99">
        <f t="shared" si="15"/>
        <v>0</v>
      </c>
      <c r="I212" s="99">
        <f t="shared" si="13"/>
        <v>-728000</v>
      </c>
      <c r="J212" s="99">
        <f t="shared" si="20"/>
        <v>0</v>
      </c>
      <c r="K212" s="99">
        <f t="shared" si="17"/>
        <v>-728000</v>
      </c>
    </row>
    <row r="213" spans="1:13" x14ac:dyDescent="0.25">
      <c r="A213" s="99" t="s">
        <v>4209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25</v>
      </c>
      <c r="H213" s="99">
        <f t="shared" si="15"/>
        <v>0</v>
      </c>
      <c r="I213" s="99">
        <f t="shared" si="13"/>
        <v>-1477500</v>
      </c>
      <c r="J213" s="99">
        <f t="shared" si="20"/>
        <v>0</v>
      </c>
      <c r="K213" s="99">
        <f t="shared" si="17"/>
        <v>-1477500</v>
      </c>
    </row>
    <row r="214" spans="1:13" x14ac:dyDescent="0.25">
      <c r="A214" s="99" t="s">
        <v>4209</v>
      </c>
      <c r="B214" s="18">
        <v>-30000</v>
      </c>
      <c r="C214" s="18">
        <v>0</v>
      </c>
      <c r="D214" s="18">
        <f t="shared" si="18"/>
        <v>-30000</v>
      </c>
      <c r="E214" s="99" t="s">
        <v>4210</v>
      </c>
      <c r="F214" s="99">
        <v>0</v>
      </c>
      <c r="G214" s="36">
        <f t="shared" si="19"/>
        <v>24</v>
      </c>
      <c r="H214" s="99">
        <f t="shared" si="15"/>
        <v>0</v>
      </c>
      <c r="I214" s="99">
        <f t="shared" si="13"/>
        <v>-720000</v>
      </c>
      <c r="J214" s="99">
        <f t="shared" si="20"/>
        <v>0</v>
      </c>
      <c r="K214" s="99">
        <f t="shared" si="17"/>
        <v>-720000</v>
      </c>
    </row>
    <row r="215" spans="1:13" x14ac:dyDescent="0.25">
      <c r="A215" s="99" t="s">
        <v>4209</v>
      </c>
      <c r="B215" s="18">
        <v>-178000</v>
      </c>
      <c r="C215" s="18">
        <v>0</v>
      </c>
      <c r="D215" s="18">
        <f t="shared" si="18"/>
        <v>-178000</v>
      </c>
      <c r="E215" s="99" t="s">
        <v>4212</v>
      </c>
      <c r="F215" s="99">
        <v>1</v>
      </c>
      <c r="G215" s="36">
        <f t="shared" si="19"/>
        <v>24</v>
      </c>
      <c r="H215" s="99">
        <f t="shared" si="15"/>
        <v>0</v>
      </c>
      <c r="I215" s="99">
        <f t="shared" si="13"/>
        <v>-4272000</v>
      </c>
      <c r="J215" s="99">
        <f t="shared" si="20"/>
        <v>0</v>
      </c>
      <c r="K215" s="99">
        <f t="shared" si="17"/>
        <v>-4272000</v>
      </c>
    </row>
    <row r="216" spans="1:13" x14ac:dyDescent="0.25">
      <c r="A216" s="99" t="s">
        <v>4214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23</v>
      </c>
      <c r="H216" s="99">
        <f t="shared" si="15"/>
        <v>0</v>
      </c>
      <c r="I216" s="99">
        <f t="shared" si="13"/>
        <v>-2199030</v>
      </c>
      <c r="J216" s="99">
        <f t="shared" si="20"/>
        <v>0</v>
      </c>
      <c r="K216" s="99">
        <f t="shared" si="17"/>
        <v>-2199030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20</v>
      </c>
      <c r="H217" s="99">
        <f t="shared" si="15"/>
        <v>0</v>
      </c>
      <c r="I217" s="99">
        <f t="shared" si="13"/>
        <v>-1680000</v>
      </c>
      <c r="J217" s="99">
        <f t="shared" si="20"/>
        <v>0</v>
      </c>
      <c r="K217" s="99">
        <f t="shared" si="17"/>
        <v>-1680000</v>
      </c>
    </row>
    <row r="218" spans="1:13" x14ac:dyDescent="0.25">
      <c r="A218" s="99" t="s">
        <v>4218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18</v>
      </c>
      <c r="H218" s="99">
        <f t="shared" si="15"/>
        <v>0</v>
      </c>
      <c r="I218" s="99">
        <f t="shared" si="13"/>
        <v>-594000</v>
      </c>
      <c r="J218" s="99">
        <f t="shared" si="20"/>
        <v>0</v>
      </c>
      <c r="K218" s="99">
        <f t="shared" si="17"/>
        <v>-594000</v>
      </c>
    </row>
    <row r="219" spans="1:13" x14ac:dyDescent="0.25">
      <c r="A219" s="99" t="s">
        <v>4223</v>
      </c>
      <c r="B219" s="18">
        <v>1548000</v>
      </c>
      <c r="C219" s="18">
        <v>0</v>
      </c>
      <c r="D219" s="18">
        <f t="shared" si="18"/>
        <v>1548000</v>
      </c>
      <c r="E219" s="99" t="s">
        <v>4253</v>
      </c>
      <c r="F219" s="99">
        <v>1</v>
      </c>
      <c r="G219" s="36">
        <f t="shared" si="21"/>
        <v>15</v>
      </c>
      <c r="H219" s="99">
        <f t="shared" si="15"/>
        <v>1</v>
      </c>
      <c r="I219" s="99">
        <f t="shared" si="13"/>
        <v>21672000</v>
      </c>
      <c r="J219" s="99">
        <f t="shared" si="20"/>
        <v>0</v>
      </c>
      <c r="K219" s="99">
        <f t="shared" si="17"/>
        <v>21672000</v>
      </c>
    </row>
    <row r="220" spans="1:13" x14ac:dyDescent="0.25">
      <c r="A220" s="99" t="s">
        <v>4254</v>
      </c>
      <c r="B220" s="18">
        <v>-1400700</v>
      </c>
      <c r="C220" s="18">
        <v>0</v>
      </c>
      <c r="D220" s="18">
        <f t="shared" si="18"/>
        <v>-1400700</v>
      </c>
      <c r="E220" s="99" t="s">
        <v>4255</v>
      </c>
      <c r="F220" s="99">
        <v>0</v>
      </c>
      <c r="G220" s="36">
        <f t="shared" si="21"/>
        <v>14</v>
      </c>
      <c r="H220" s="99">
        <f t="shared" si="15"/>
        <v>0</v>
      </c>
      <c r="I220" s="99">
        <f t="shared" si="13"/>
        <v>-19609800</v>
      </c>
      <c r="J220" s="99">
        <f t="shared" si="20"/>
        <v>0</v>
      </c>
      <c r="K220" s="99">
        <f t="shared" si="17"/>
        <v>-19609800</v>
      </c>
    </row>
    <row r="221" spans="1:13" x14ac:dyDescent="0.25">
      <c r="A221" s="99" t="s">
        <v>4254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14</v>
      </c>
      <c r="H221" s="99">
        <f t="shared" si="15"/>
        <v>0</v>
      </c>
      <c r="I221" s="99">
        <f t="shared" si="13"/>
        <v>-140000</v>
      </c>
      <c r="J221" s="99">
        <f t="shared" si="20"/>
        <v>0</v>
      </c>
      <c r="K221" s="99">
        <f t="shared" si="17"/>
        <v>-140000</v>
      </c>
    </row>
    <row r="222" spans="1:13" x14ac:dyDescent="0.25">
      <c r="A222" s="99" t="s">
        <v>4254</v>
      </c>
      <c r="B222" s="18">
        <v>-5000</v>
      </c>
      <c r="C222" s="18">
        <v>-2500</v>
      </c>
      <c r="D222" s="18">
        <f t="shared" si="18"/>
        <v>-2500</v>
      </c>
      <c r="E222" s="99" t="s">
        <v>4266</v>
      </c>
      <c r="F222" s="99">
        <v>6</v>
      </c>
      <c r="G222" s="36">
        <f t="shared" si="21"/>
        <v>14</v>
      </c>
      <c r="H222" s="99">
        <f t="shared" si="15"/>
        <v>0</v>
      </c>
      <c r="I222" s="99">
        <f t="shared" si="13"/>
        <v>-70000</v>
      </c>
      <c r="J222" s="99">
        <f t="shared" si="20"/>
        <v>-35000</v>
      </c>
      <c r="K222" s="99">
        <f t="shared" si="17"/>
        <v>-35000</v>
      </c>
    </row>
    <row r="223" spans="1:13" x14ac:dyDescent="0.25">
      <c r="A223" s="99" t="s">
        <v>4279</v>
      </c>
      <c r="B223" s="18">
        <v>-190000</v>
      </c>
      <c r="C223" s="18">
        <v>0</v>
      </c>
      <c r="D223" s="18">
        <f t="shared" si="18"/>
        <v>-190000</v>
      </c>
      <c r="E223" s="99" t="s">
        <v>4280</v>
      </c>
      <c r="F223" s="99">
        <v>7</v>
      </c>
      <c r="G223" s="36">
        <f t="shared" si="21"/>
        <v>8</v>
      </c>
      <c r="H223" s="99">
        <f t="shared" si="15"/>
        <v>0</v>
      </c>
      <c r="I223" s="99">
        <f t="shared" si="13"/>
        <v>-1520000</v>
      </c>
      <c r="J223" s="99">
        <f t="shared" si="20"/>
        <v>0</v>
      </c>
      <c r="K223" s="99">
        <f t="shared" si="17"/>
        <v>-1520000</v>
      </c>
      <c r="M223" t="s">
        <v>25</v>
      </c>
    </row>
    <row r="224" spans="1:13" x14ac:dyDescent="0.25">
      <c r="A224" s="99" t="s">
        <v>4325</v>
      </c>
      <c r="B224" s="18">
        <v>1911</v>
      </c>
      <c r="C224" s="18">
        <v>64972</v>
      </c>
      <c r="D224" s="18">
        <f t="shared" si="18"/>
        <v>-63061</v>
      </c>
      <c r="E224" s="99" t="s">
        <v>736</v>
      </c>
      <c r="F224" s="99">
        <v>1</v>
      </c>
      <c r="G224" s="36">
        <f t="shared" si="21"/>
        <v>1</v>
      </c>
      <c r="H224" s="99">
        <f t="shared" si="15"/>
        <v>1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8778</v>
      </c>
      <c r="C267" s="29">
        <f>SUM(C2:C256)</f>
        <v>7968789</v>
      </c>
      <c r="D267" s="29">
        <f>SUM(D2:D254)</f>
        <v>-7960011</v>
      </c>
      <c r="E267" s="11"/>
      <c r="F267" s="11"/>
      <c r="G267" s="11"/>
      <c r="H267" s="11"/>
      <c r="I267" s="29">
        <f>SUM(I2:I266)</f>
        <v>18781474351</v>
      </c>
      <c r="J267" s="29">
        <f>SUM(J2:J266)</f>
        <v>8305183557</v>
      </c>
      <c r="K267" s="29">
        <f>SUM(K2:K266)</f>
        <v>10476290794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20282369.709503241</v>
      </c>
      <c r="J270" s="29">
        <f>J267/G2</f>
        <v>8968880.731101511</v>
      </c>
      <c r="K270" s="29">
        <f>K267/G2</f>
        <v>11313488.978401728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-6763372</v>
      </c>
      <c r="G274" t="s">
        <v>25</v>
      </c>
      <c r="J274">
        <f>J267/I267*1448696</f>
        <v>640614.57441710681</v>
      </c>
      <c r="K274">
        <f>K267/I267*1448696</f>
        <v>808081.42558289319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4264</v>
      </c>
      <c r="B72" s="113">
        <v>-5000</v>
      </c>
      <c r="C72" s="99" t="s">
        <v>4265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4200</v>
      </c>
      <c r="B4" s="18">
        <v>-52440</v>
      </c>
      <c r="C4" s="18">
        <v>0</v>
      </c>
      <c r="D4" s="113">
        <f t="shared" si="0"/>
        <v>-52440</v>
      </c>
      <c r="E4" s="99" t="s">
        <v>4204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4206</v>
      </c>
      <c r="B6" s="18">
        <v>-200000</v>
      </c>
      <c r="C6" s="18">
        <v>0</v>
      </c>
      <c r="D6" s="113">
        <f t="shared" si="0"/>
        <v>-200000</v>
      </c>
      <c r="E6" s="19" t="s">
        <v>4207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4208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4209</v>
      </c>
      <c r="B9" s="18">
        <v>-30000</v>
      </c>
      <c r="C9" s="18">
        <v>0</v>
      </c>
      <c r="D9" s="113">
        <f t="shared" si="0"/>
        <v>-30000</v>
      </c>
      <c r="E9" s="21" t="s">
        <v>4210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4223</v>
      </c>
      <c r="B14" s="18">
        <v>1548000</v>
      </c>
      <c r="C14" s="18">
        <v>0</v>
      </c>
      <c r="D14" s="113">
        <f t="shared" si="0"/>
        <v>1548000</v>
      </c>
      <c r="E14" s="20" t="s">
        <v>4263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4264</v>
      </c>
      <c r="B16" s="18">
        <v>-5000</v>
      </c>
      <c r="C16" s="18">
        <v>-2500</v>
      </c>
      <c r="D16" s="113">
        <f t="shared" si="0"/>
        <v>-2500</v>
      </c>
      <c r="E16" s="20" t="s">
        <v>4265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4279</v>
      </c>
      <c r="B17" s="18">
        <v>-190000</v>
      </c>
      <c r="C17" s="18">
        <v>0</v>
      </c>
      <c r="D17" s="113">
        <f t="shared" si="0"/>
        <v>-190000</v>
      </c>
      <c r="E17" s="20" t="s">
        <v>4280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4325</v>
      </c>
      <c r="B18" s="18">
        <v>1911</v>
      </c>
      <c r="C18" s="18">
        <v>64972</v>
      </c>
      <c r="D18" s="113">
        <f t="shared" si="0"/>
        <v>-63061</v>
      </c>
      <c r="E18" s="20" t="s">
        <v>736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0" zoomScaleNormal="100" workbookViewId="0">
      <pane xSplit="1" topLeftCell="B1" activePane="topRight" state="frozen"/>
      <selection pane="topRight" activeCell="D38" sqref="D38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77090.904822690587</v>
      </c>
      <c r="C2" s="86">
        <f t="shared" ref="C2:C20" si="0">$S2/(1+($C$1-$O2+$P2)/36500)^$N2</f>
        <v>80366.94167950876</v>
      </c>
      <c r="D2" s="86">
        <f>$S2/(1+($D$1-$O2+$P2)/36500)^$N2</f>
        <v>80786.141953727041</v>
      </c>
      <c r="E2" s="86">
        <f>$S2/(1+($E$1-$O2+$P2)/36500)^$N2</f>
        <v>81207.534593707911</v>
      </c>
      <c r="F2" s="86">
        <f>$S2/(1+($F$1-$O2+$P2)/36500)^$N2</f>
        <v>81631.131095515346</v>
      </c>
      <c r="G2" s="86">
        <f>$S2/(1+($G$1-$O2+$P2)/36500)^$N2</f>
        <v>82056.943015633457</v>
      </c>
      <c r="H2" s="86">
        <f>$S2/(1+($H$1-$O2+$P2)/36500)^$N2</f>
        <v>82484.981971325309</v>
      </c>
      <c r="I2" s="86">
        <f>$S2/(1+($I$1-$O2+$P2)/36500)^$N2</f>
        <v>82915.259640917138</v>
      </c>
      <c r="J2" s="86">
        <f>$S2/(1+($J$1-$O2+$P2)/36500)^$N2</f>
        <v>83347.787764142951</v>
      </c>
      <c r="K2" s="86">
        <f>$S2/(1+($K$1-$O2+$P2)/36500)^$N2</f>
        <v>83782.578142473852</v>
      </c>
      <c r="L2" s="86">
        <f t="shared" ref="L2:L37" si="1">$S2/(1+($AC$5-$O2+$P2)/36500)^$N2</f>
        <v>81207.534593707911</v>
      </c>
      <c r="M2" s="148" t="s">
        <v>993</v>
      </c>
      <c r="N2" s="148">
        <f>601-$AD$19</f>
        <v>380</v>
      </c>
      <c r="O2" s="148">
        <v>0</v>
      </c>
      <c r="P2" s="148">
        <v>0</v>
      </c>
      <c r="Q2" s="148">
        <v>0</v>
      </c>
      <c r="R2" s="148">
        <f t="shared" ref="R2:R37" si="2">N2/30.5</f>
        <v>12.459016393442623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4235</v>
      </c>
      <c r="B3" s="191">
        <f>$S3/(1+($B$1-$O3+$P3)/36500)^$N3</f>
        <v>96568.310285561165</v>
      </c>
      <c r="C3" s="191">
        <f t="shared" si="0"/>
        <v>97109.203834834261</v>
      </c>
      <c r="D3" s="191">
        <f t="shared" ref="D3:D37" si="5">$S3/(1+($D$1-$O3+$P3)/36500)^$N3</f>
        <v>97177.032381925557</v>
      </c>
      <c r="E3" s="191">
        <f t="shared" ref="E3:E37" si="6">$S3/(1+($E$1-$O3+$P3)/36500)^$N3</f>
        <v>97244.909235313433</v>
      </c>
      <c r="F3" s="191">
        <f t="shared" ref="F3:F37" si="7">$S3/(1+($F$1-$O3+$P3)/36500)^$N3</f>
        <v>97312.834430064395</v>
      </c>
      <c r="G3" s="191">
        <f t="shared" ref="G3:G37" si="8">$S3/(1+($G$1-$O3+$P3)/36500)^$N3</f>
        <v>97380.808001267666</v>
      </c>
      <c r="H3" s="191">
        <f t="shared" ref="H3:H37" si="9">$S3/(1+($H$1-$O3+$P3)/36500)^$N3</f>
        <v>97448.829984041615</v>
      </c>
      <c r="I3" s="191">
        <f t="shared" ref="I3:I37" si="10">$S3/(1+($I$1-$O3+$P3)/36500)^$N3</f>
        <v>97516.900413528085</v>
      </c>
      <c r="J3" s="191">
        <f t="shared" ref="J3:J37" si="11">$S3/(1+($J$1-$O3+$P3)/36500)^$N3</f>
        <v>97585.01932489594</v>
      </c>
      <c r="K3" s="191">
        <f t="shared" ref="K3:K37" si="12">$S3/(1+($K$1-$O3+$P3)/36500)^$N3</f>
        <v>97653.186753342001</v>
      </c>
      <c r="L3" s="191">
        <f t="shared" si="1"/>
        <v>97244.909235313433</v>
      </c>
      <c r="M3" s="190" t="s">
        <v>4244</v>
      </c>
      <c r="N3" s="190">
        <f>272-$AD$19</f>
        <v>51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78583.112682245439</v>
      </c>
      <c r="C4" s="88">
        <f t="shared" si="0"/>
        <v>81671.726331914397</v>
      </c>
      <c r="D4" s="88">
        <f t="shared" si="5"/>
        <v>82066.266846922372</v>
      </c>
      <c r="E4" s="88">
        <f t="shared" si="6"/>
        <v>82462.718752669243</v>
      </c>
      <c r="F4" s="88">
        <f t="shared" si="7"/>
        <v>82861.091335445963</v>
      </c>
      <c r="G4" s="88">
        <f t="shared" si="8"/>
        <v>83261.393926768913</v>
      </c>
      <c r="H4" s="88">
        <f t="shared" si="9"/>
        <v>83663.63590363905</v>
      </c>
      <c r="I4" s="88">
        <f t="shared" si="10"/>
        <v>84067.826688729911</v>
      </c>
      <c r="J4" s="88">
        <f t="shared" si="11"/>
        <v>84473.975750632322</v>
      </c>
      <c r="K4" s="88">
        <f t="shared" si="12"/>
        <v>84882.092604083882</v>
      </c>
      <c r="L4" s="88">
        <f t="shared" si="1"/>
        <v>82462.718752669243</v>
      </c>
      <c r="M4" s="87" t="s">
        <v>994</v>
      </c>
      <c r="N4" s="87">
        <f>573-$AD$19</f>
        <v>352</v>
      </c>
      <c r="O4" s="87">
        <v>0</v>
      </c>
      <c r="P4" s="87">
        <v>0</v>
      </c>
      <c r="Q4" s="87">
        <v>0</v>
      </c>
      <c r="R4" s="87">
        <f t="shared" si="2"/>
        <v>11.540983606557377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95647.052300010197</v>
      </c>
      <c r="C5" s="57">
        <f t="shared" si="0"/>
        <v>96330.374043944073</v>
      </c>
      <c r="D5" s="57">
        <f t="shared" si="5"/>
        <v>96416.137085481489</v>
      </c>
      <c r="E5" s="57">
        <f t="shared" si="6"/>
        <v>96501.977657704439</v>
      </c>
      <c r="F5" s="57">
        <f t="shared" si="7"/>
        <v>96587.895831766349</v>
      </c>
      <c r="G5" s="57">
        <f t="shared" si="8"/>
        <v>96673.891678882792</v>
      </c>
      <c r="H5" s="57">
        <f t="shared" si="9"/>
        <v>96759.965270339831</v>
      </c>
      <c r="I5" s="57">
        <f t="shared" si="10"/>
        <v>96846.116677486585</v>
      </c>
      <c r="J5" s="57">
        <f t="shared" si="11"/>
        <v>96932.3459717402</v>
      </c>
      <c r="K5" s="57">
        <f t="shared" si="12"/>
        <v>97018.653224586567</v>
      </c>
      <c r="L5" s="57">
        <f t="shared" si="1"/>
        <v>96501.977657704439</v>
      </c>
      <c r="M5" s="12" t="s">
        <v>996</v>
      </c>
      <c r="N5" s="12">
        <f>286-$AD$19</f>
        <v>65</v>
      </c>
      <c r="O5" s="12">
        <v>0</v>
      </c>
      <c r="P5" s="12">
        <v>0</v>
      </c>
      <c r="Q5" s="12">
        <v>0</v>
      </c>
      <c r="R5" s="12">
        <f t="shared" si="2"/>
        <v>2.1311475409836067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84382.945867691174</v>
      </c>
      <c r="C6" s="86">
        <f t="shared" si="0"/>
        <v>86706.277420635553</v>
      </c>
      <c r="D6" s="86">
        <f t="shared" si="5"/>
        <v>87001.17420272356</v>
      </c>
      <c r="E6" s="86">
        <f t="shared" si="6"/>
        <v>87297.078016519648</v>
      </c>
      <c r="F6" s="86">
        <f t="shared" si="7"/>
        <v>87593.992314762538</v>
      </c>
      <c r="G6" s="86">
        <f t="shared" si="8"/>
        <v>87891.920562062471</v>
      </c>
      <c r="H6" s="86">
        <f t="shared" si="9"/>
        <v>88190.866234970643</v>
      </c>
      <c r="I6" s="86">
        <f t="shared" si="10"/>
        <v>88490.832821994903</v>
      </c>
      <c r="J6" s="86">
        <f t="shared" si="11"/>
        <v>88791.823823657134</v>
      </c>
      <c r="K6" s="86">
        <f t="shared" si="12"/>
        <v>89093.842752538592</v>
      </c>
      <c r="L6" s="86">
        <f t="shared" si="1"/>
        <v>87297.078016519648</v>
      </c>
      <c r="M6" s="148" t="s">
        <v>995</v>
      </c>
      <c r="N6" s="148">
        <f>469-$AD$19</f>
        <v>248</v>
      </c>
      <c r="O6" s="148">
        <v>0</v>
      </c>
      <c r="P6" s="148">
        <v>0</v>
      </c>
      <c r="Q6" s="148">
        <v>0</v>
      </c>
      <c r="R6" s="148">
        <f t="shared" si="2"/>
        <v>8.1311475409836067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84382.945867691174</v>
      </c>
      <c r="C7" s="191">
        <f t="shared" si="0"/>
        <v>86706.277420635553</v>
      </c>
      <c r="D7" s="191">
        <f t="shared" si="5"/>
        <v>87001.17420272356</v>
      </c>
      <c r="E7" s="191">
        <f t="shared" si="6"/>
        <v>87297.078016519648</v>
      </c>
      <c r="F7" s="191">
        <f t="shared" si="7"/>
        <v>87593.992314762538</v>
      </c>
      <c r="G7" s="191">
        <f t="shared" si="8"/>
        <v>87891.920562062471</v>
      </c>
      <c r="H7" s="191">
        <f t="shared" si="9"/>
        <v>88190.866234970643</v>
      </c>
      <c r="I7" s="191">
        <f t="shared" si="10"/>
        <v>88490.832821994903</v>
      </c>
      <c r="J7" s="191">
        <f t="shared" si="11"/>
        <v>88791.823823657134</v>
      </c>
      <c r="K7" s="191">
        <f t="shared" si="12"/>
        <v>89093.842752538592</v>
      </c>
      <c r="L7" s="191">
        <f t="shared" si="1"/>
        <v>87297.078016519648</v>
      </c>
      <c r="M7" s="190" t="s">
        <v>995</v>
      </c>
      <c r="N7" s="190">
        <f>469-$AD$19</f>
        <v>248</v>
      </c>
      <c r="O7" s="190">
        <v>0</v>
      </c>
      <c r="P7" s="190">
        <v>0</v>
      </c>
      <c r="Q7" s="190">
        <v>0</v>
      </c>
      <c r="R7" s="190">
        <f t="shared" si="2"/>
        <v>8.1311475409836067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75990.373638515186</v>
      </c>
      <c r="C8" s="88">
        <f t="shared" si="0"/>
        <v>79402.05115257205</v>
      </c>
      <c r="D8" s="88">
        <f t="shared" si="5"/>
        <v>79839.169565552787</v>
      </c>
      <c r="E8" s="88">
        <f t="shared" si="6"/>
        <v>80278.700405194162</v>
      </c>
      <c r="F8" s="88">
        <f t="shared" si="7"/>
        <v>80720.657018826765</v>
      </c>
      <c r="G8" s="88">
        <f t="shared" si="8"/>
        <v>81165.052827791631</v>
      </c>
      <c r="H8" s="88">
        <f t="shared" si="9"/>
        <v>81611.901327893953</v>
      </c>
      <c r="I8" s="88">
        <f t="shared" si="10"/>
        <v>82061.216089779307</v>
      </c>
      <c r="J8" s="88">
        <f t="shared" si="11"/>
        <v>82513.010759373632</v>
      </c>
      <c r="K8" s="88">
        <f t="shared" si="12"/>
        <v>82967.299058307501</v>
      </c>
      <c r="L8" s="88">
        <f t="shared" si="1"/>
        <v>80278.700405194162</v>
      </c>
      <c r="M8" s="87" t="s">
        <v>999</v>
      </c>
      <c r="N8" s="87">
        <f>622-$AD$19</f>
        <v>401</v>
      </c>
      <c r="O8" s="87">
        <v>0</v>
      </c>
      <c r="P8" s="87">
        <v>0</v>
      </c>
      <c r="Q8" s="87">
        <v>0</v>
      </c>
      <c r="R8" s="87">
        <f t="shared" si="2"/>
        <v>13.147540983606557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4236</v>
      </c>
      <c r="B9" s="86">
        <f t="shared" si="14"/>
        <v>97431.707642785797</v>
      </c>
      <c r="C9" s="86">
        <f t="shared" si="0"/>
        <v>97838.040074987483</v>
      </c>
      <c r="D9" s="86">
        <f t="shared" si="5"/>
        <v>97888.953771985834</v>
      </c>
      <c r="E9" s="86">
        <f t="shared" si="6"/>
        <v>97939.894661442493</v>
      </c>
      <c r="F9" s="86">
        <f t="shared" si="7"/>
        <v>97990.862758254414</v>
      </c>
      <c r="G9" s="86">
        <f t="shared" si="8"/>
        <v>98041.858077324432</v>
      </c>
      <c r="H9" s="86">
        <f t="shared" si="9"/>
        <v>98092.880633566296</v>
      </c>
      <c r="I9" s="86">
        <f t="shared" si="10"/>
        <v>98143.930441900098</v>
      </c>
      <c r="J9" s="86">
        <f t="shared" si="11"/>
        <v>98195.007517255173</v>
      </c>
      <c r="K9" s="86">
        <f t="shared" si="12"/>
        <v>98246.111874570677</v>
      </c>
      <c r="L9" s="86">
        <f t="shared" si="1"/>
        <v>97939.894661442493</v>
      </c>
      <c r="M9" s="148" t="s">
        <v>4245</v>
      </c>
      <c r="N9" s="148">
        <f>259-$AD$19</f>
        <v>38</v>
      </c>
      <c r="O9" s="148">
        <v>0</v>
      </c>
      <c r="P9" s="148">
        <v>0</v>
      </c>
      <c r="Q9" s="148">
        <v>0</v>
      </c>
      <c r="R9" s="148">
        <f t="shared" si="2"/>
        <v>1.2459016393442623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72782.151654951827</v>
      </c>
      <c r="C10" s="191">
        <f t="shared" si="0"/>
        <v>76576.332118957711</v>
      </c>
      <c r="D10" s="191">
        <f t="shared" si="5"/>
        <v>77064.335720614574</v>
      </c>
      <c r="E10" s="191">
        <f t="shared" si="6"/>
        <v>77555.456003801039</v>
      </c>
      <c r="F10" s="191">
        <f t="shared" si="7"/>
        <v>78049.712916592311</v>
      </c>
      <c r="G10" s="191">
        <f t="shared" si="8"/>
        <v>78547.126534991767</v>
      </c>
      <c r="H10" s="191">
        <f t="shared" si="9"/>
        <v>79047.717063800534</v>
      </c>
      <c r="I10" s="191">
        <f t="shared" si="10"/>
        <v>79551.504837403088</v>
      </c>
      <c r="J10" s="191">
        <f t="shared" si="11"/>
        <v>80058.51032062681</v>
      </c>
      <c r="K10" s="191">
        <f t="shared" si="12"/>
        <v>80568.754109586996</v>
      </c>
      <c r="L10" s="191">
        <f t="shared" si="1"/>
        <v>77555.456003801039</v>
      </c>
      <c r="M10" s="190" t="s">
        <v>1000</v>
      </c>
      <c r="N10" s="190">
        <f>685-$AD$19</f>
        <v>464</v>
      </c>
      <c r="O10" s="190">
        <v>0</v>
      </c>
      <c r="P10" s="190">
        <v>0</v>
      </c>
      <c r="Q10" s="190">
        <v>0</v>
      </c>
      <c r="R10" s="190">
        <f t="shared" si="2"/>
        <v>15.21311475409836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74190.95725899328</v>
      </c>
      <c r="C11" s="88">
        <f t="shared" si="0"/>
        <v>77819.574934950142</v>
      </c>
      <c r="D11" s="88">
        <f t="shared" si="5"/>
        <v>78285.485439461452</v>
      </c>
      <c r="E11" s="88">
        <f t="shared" si="6"/>
        <v>78754.191814511563</v>
      </c>
      <c r="F11" s="88">
        <f t="shared" si="7"/>
        <v>79225.710876403493</v>
      </c>
      <c r="G11" s="88">
        <f t="shared" si="8"/>
        <v>79700.059542794887</v>
      </c>
      <c r="H11" s="88">
        <f t="shared" si="9"/>
        <v>80177.254833355502</v>
      </c>
      <c r="I11" s="88">
        <f t="shared" si="10"/>
        <v>80657.313870343292</v>
      </c>
      <c r="J11" s="88">
        <f t="shared" si="11"/>
        <v>81140.253879249634</v>
      </c>
      <c r="K11" s="88">
        <f t="shared" si="12"/>
        <v>81626.092189429197</v>
      </c>
      <c r="L11" s="88">
        <f t="shared" si="1"/>
        <v>78754.191814511563</v>
      </c>
      <c r="M11" s="87" t="s">
        <v>1001</v>
      </c>
      <c r="N11" s="87">
        <f>657-$AD$19</f>
        <v>436</v>
      </c>
      <c r="O11" s="87">
        <v>0</v>
      </c>
      <c r="P11" s="87">
        <v>0</v>
      </c>
      <c r="Q11" s="87">
        <v>0</v>
      </c>
      <c r="R11" s="87">
        <f t="shared" si="2"/>
        <v>14.295081967213115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74190.95725899328</v>
      </c>
      <c r="C12" s="86">
        <f t="shared" si="0"/>
        <v>77819.574934950142</v>
      </c>
      <c r="D12" s="86">
        <f t="shared" si="5"/>
        <v>78285.485439461452</v>
      </c>
      <c r="E12" s="86">
        <f t="shared" si="6"/>
        <v>78754.191814511563</v>
      </c>
      <c r="F12" s="86">
        <f t="shared" si="7"/>
        <v>79225.710876403493</v>
      </c>
      <c r="G12" s="86">
        <f t="shared" si="8"/>
        <v>79700.059542794887</v>
      </c>
      <c r="H12" s="86">
        <f t="shared" si="9"/>
        <v>80177.254833355502</v>
      </c>
      <c r="I12" s="86">
        <f t="shared" si="10"/>
        <v>80657.313870343292</v>
      </c>
      <c r="J12" s="86">
        <f t="shared" si="11"/>
        <v>81140.253879249634</v>
      </c>
      <c r="K12" s="86">
        <f t="shared" si="12"/>
        <v>81626.092189429197</v>
      </c>
      <c r="L12" s="86">
        <f t="shared" si="1"/>
        <v>78754.191814511563</v>
      </c>
      <c r="M12" s="148" t="s">
        <v>1001</v>
      </c>
      <c r="N12" s="148">
        <f>657-$AD$19</f>
        <v>436</v>
      </c>
      <c r="O12" s="148">
        <v>0</v>
      </c>
      <c r="P12" s="148">
        <v>0</v>
      </c>
      <c r="Q12" s="148">
        <v>0</v>
      </c>
      <c r="R12" s="148">
        <f t="shared" si="2"/>
        <v>14.295081967213115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77090.904822690587</v>
      </c>
      <c r="C13" s="191">
        <f t="shared" si="0"/>
        <v>80366.94167950876</v>
      </c>
      <c r="D13" s="191">
        <f t="shared" si="5"/>
        <v>80786.141953727041</v>
      </c>
      <c r="E13" s="191">
        <f t="shared" si="6"/>
        <v>81207.534593707911</v>
      </c>
      <c r="F13" s="191">
        <f t="shared" si="7"/>
        <v>81631.131095515346</v>
      </c>
      <c r="G13" s="191">
        <f t="shared" si="8"/>
        <v>82056.943015633457</v>
      </c>
      <c r="H13" s="191">
        <f t="shared" si="9"/>
        <v>82484.981971325309</v>
      </c>
      <c r="I13" s="191">
        <f t="shared" si="10"/>
        <v>82915.259640917138</v>
      </c>
      <c r="J13" s="191">
        <f t="shared" si="11"/>
        <v>83347.787764142951</v>
      </c>
      <c r="K13" s="191">
        <f t="shared" si="12"/>
        <v>83782.578142473852</v>
      </c>
      <c r="L13" s="191">
        <f t="shared" si="1"/>
        <v>81207.534593707911</v>
      </c>
      <c r="M13" s="190" t="s">
        <v>993</v>
      </c>
      <c r="N13" s="190">
        <f>601-$AD$19</f>
        <v>380</v>
      </c>
      <c r="O13" s="190">
        <v>0</v>
      </c>
      <c r="P13" s="190">
        <v>0</v>
      </c>
      <c r="Q13" s="190">
        <v>0</v>
      </c>
      <c r="R13" s="190">
        <f t="shared" si="2"/>
        <v>12.459016393442623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81934.761973398257</v>
      </c>
      <c r="C14" s="88">
        <f t="shared" si="0"/>
        <v>84588.106637291989</v>
      </c>
      <c r="D14" s="88">
        <f t="shared" si="5"/>
        <v>84925.780946011015</v>
      </c>
      <c r="E14" s="88">
        <f t="shared" si="6"/>
        <v>85264.807895744205</v>
      </c>
      <c r="F14" s="88">
        <f t="shared" si="7"/>
        <v>85605.192923480194</v>
      </c>
      <c r="G14" s="88">
        <f t="shared" si="8"/>
        <v>85946.941488120443</v>
      </c>
      <c r="H14" s="88">
        <f t="shared" si="9"/>
        <v>86290.059070600342</v>
      </c>
      <c r="I14" s="88">
        <f t="shared" si="10"/>
        <v>86634.551173949323</v>
      </c>
      <c r="J14" s="88">
        <f t="shared" si="11"/>
        <v>86980.423323398587</v>
      </c>
      <c r="K14" s="88">
        <f t="shared" si="12"/>
        <v>87327.681066475314</v>
      </c>
      <c r="L14" s="88">
        <f t="shared" si="1"/>
        <v>85264.807895744205</v>
      </c>
      <c r="M14" s="87" t="s">
        <v>3857</v>
      </c>
      <c r="N14" s="87">
        <f>512-$AD$19</f>
        <v>291</v>
      </c>
      <c r="O14" s="87">
        <v>0</v>
      </c>
      <c r="P14" s="87">
        <v>0</v>
      </c>
      <c r="Q14" s="87">
        <v>0</v>
      </c>
      <c r="R14" s="87">
        <f t="shared" si="2"/>
        <v>9.5409836065573774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63598.217107379336</v>
      </c>
      <c r="C15" s="57">
        <f t="shared" si="0"/>
        <v>68373.011355895287</v>
      </c>
      <c r="D15" s="57">
        <f t="shared" si="5"/>
        <v>68994.571376655862</v>
      </c>
      <c r="E15" s="57">
        <f t="shared" si="6"/>
        <v>69621.790452676869</v>
      </c>
      <c r="F15" s="57">
        <f t="shared" si="7"/>
        <v>70254.720185945378</v>
      </c>
      <c r="G15" s="57">
        <f t="shared" si="8"/>
        <v>70893.412649666032</v>
      </c>
      <c r="H15" s="57">
        <f t="shared" si="9"/>
        <v>71537.920392631408</v>
      </c>
      <c r="I15" s="57">
        <f t="shared" si="10"/>
        <v>72188.296443517684</v>
      </c>
      <c r="J15" s="57">
        <f t="shared" si="11"/>
        <v>72844.594315307972</v>
      </c>
      <c r="K15" s="57">
        <f t="shared" si="12"/>
        <v>73506.868009730679</v>
      </c>
      <c r="L15" s="57">
        <f t="shared" si="1"/>
        <v>69621.790452676869</v>
      </c>
      <c r="M15" s="12" t="s">
        <v>3911</v>
      </c>
      <c r="N15" s="12">
        <f>882-$AD$19</f>
        <v>661</v>
      </c>
      <c r="O15" s="12">
        <v>0</v>
      </c>
      <c r="P15" s="12">
        <v>0</v>
      </c>
      <c r="Q15" s="12">
        <v>0</v>
      </c>
      <c r="R15" s="12">
        <f t="shared" si="2"/>
        <v>21.672131147540984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62390.556120405614</v>
      </c>
      <c r="C16" s="86">
        <f t="shared" si="0"/>
        <v>67280.686510288739</v>
      </c>
      <c r="D16" s="86">
        <f t="shared" si="5"/>
        <v>67918.347591804748</v>
      </c>
      <c r="E16" s="86">
        <f t="shared" si="6"/>
        <v>68562.06104020348</v>
      </c>
      <c r="F16" s="86">
        <f t="shared" si="7"/>
        <v>69211.884385649842</v>
      </c>
      <c r="G16" s="86">
        <f t="shared" si="8"/>
        <v>69867.875705923609</v>
      </c>
      <c r="H16" s="86">
        <f t="shared" si="9"/>
        <v>70530.093631702242</v>
      </c>
      <c r="I16" s="86">
        <f t="shared" si="10"/>
        <v>71198.597351775927</v>
      </c>
      <c r="J16" s="86">
        <f t="shared" si="11"/>
        <v>71873.446618403468</v>
      </c>
      <c r="K16" s="86">
        <f t="shared" si="12"/>
        <v>72554.701752692985</v>
      </c>
      <c r="L16" s="86">
        <f t="shared" si="1"/>
        <v>68562.06104020348</v>
      </c>
      <c r="M16" s="148" t="s">
        <v>4222</v>
      </c>
      <c r="N16" s="148">
        <f>910-$AD$19</f>
        <v>689</v>
      </c>
      <c r="O16" s="148">
        <v>0</v>
      </c>
      <c r="P16" s="148">
        <v>0</v>
      </c>
      <c r="Q16" s="148">
        <v>0</v>
      </c>
      <c r="R16" s="148">
        <f t="shared" si="2"/>
        <v>22.590163934426229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4237</v>
      </c>
      <c r="B17" s="191">
        <f t="shared" si="14"/>
        <v>96965.846524203051</v>
      </c>
      <c r="C17" s="191">
        <f t="shared" si="0"/>
        <v>97444.912672376173</v>
      </c>
      <c r="D17" s="191">
        <f t="shared" si="5"/>
        <v>97504.965821989594</v>
      </c>
      <c r="E17" s="191">
        <f t="shared" si="6"/>
        <v>97565.056803983272</v>
      </c>
      <c r="F17" s="191">
        <f t="shared" si="7"/>
        <v>97625.185642710756</v>
      </c>
      <c r="G17" s="191">
        <f t="shared" si="8"/>
        <v>97685.352362538673</v>
      </c>
      <c r="H17" s="191">
        <f t="shared" si="9"/>
        <v>97745.556987852586</v>
      </c>
      <c r="I17" s="191">
        <f t="shared" si="10"/>
        <v>97805.799543051849</v>
      </c>
      <c r="J17" s="191">
        <f t="shared" si="11"/>
        <v>97866.08005255273</v>
      </c>
      <c r="K17" s="191">
        <f t="shared" si="12"/>
        <v>97926.398540789363</v>
      </c>
      <c r="L17" s="191">
        <f t="shared" si="1"/>
        <v>97565.056803983272</v>
      </c>
      <c r="M17" s="190" t="s">
        <v>4246</v>
      </c>
      <c r="N17" s="190">
        <f>266-$AD$19</f>
        <v>45</v>
      </c>
      <c r="O17" s="190">
        <v>0</v>
      </c>
      <c r="P17" s="190">
        <v>0</v>
      </c>
      <c r="Q17" s="190">
        <v>0</v>
      </c>
      <c r="R17" s="190">
        <f t="shared" si="2"/>
        <v>1.4754098360655739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4238</v>
      </c>
      <c r="B18" s="88">
        <f t="shared" si="14"/>
        <v>94734.583080395329</v>
      </c>
      <c r="C18" s="88">
        <f t="shared" si="0"/>
        <v>95557.79058006742</v>
      </c>
      <c r="D18" s="88">
        <f t="shared" si="5"/>
        <v>95661.199592419129</v>
      </c>
      <c r="E18" s="88">
        <f t="shared" si="6"/>
        <v>95764.721928151121</v>
      </c>
      <c r="F18" s="88">
        <f t="shared" si="7"/>
        <v>95868.35771300811</v>
      </c>
      <c r="G18" s="88">
        <f t="shared" si="8"/>
        <v>95972.107072871091</v>
      </c>
      <c r="H18" s="88">
        <f t="shared" si="9"/>
        <v>96075.970133767507</v>
      </c>
      <c r="I18" s="88">
        <f t="shared" si="10"/>
        <v>96179.947021862288</v>
      </c>
      <c r="J18" s="88">
        <f t="shared" si="11"/>
        <v>96284.037863463949</v>
      </c>
      <c r="K18" s="88">
        <f t="shared" si="12"/>
        <v>96388.242785025664</v>
      </c>
      <c r="L18" s="88">
        <f t="shared" si="1"/>
        <v>95764.721928151121</v>
      </c>
      <c r="M18" s="87" t="s">
        <v>4247</v>
      </c>
      <c r="N18" s="87">
        <f>300-$AD$19</f>
        <v>79</v>
      </c>
      <c r="O18" s="87">
        <v>0</v>
      </c>
      <c r="P18" s="87">
        <v>0</v>
      </c>
      <c r="Q18" s="87">
        <v>0</v>
      </c>
      <c r="R18" s="87">
        <f t="shared" si="2"/>
        <v>2.5901639344262297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4239</v>
      </c>
      <c r="B19" s="57">
        <f t="shared" si="14"/>
        <v>57548.016448439812</v>
      </c>
      <c r="C19" s="57">
        <f t="shared" si="0"/>
        <v>62865.802226551568</v>
      </c>
      <c r="D19" s="57">
        <f t="shared" si="5"/>
        <v>63564.227065626656</v>
      </c>
      <c r="E19" s="57">
        <f t="shared" si="6"/>
        <v>64270.420968535604</v>
      </c>
      <c r="F19" s="57">
        <f t="shared" si="7"/>
        <v>64984.470464125763</v>
      </c>
      <c r="G19" s="57">
        <f t="shared" si="8"/>
        <v>65706.463046139921</v>
      </c>
      <c r="H19" s="57">
        <f t="shared" si="9"/>
        <v>66436.487184058016</v>
      </c>
      <c r="I19" s="57">
        <f t="shared" si="10"/>
        <v>67174.632333930276</v>
      </c>
      <c r="J19" s="57">
        <f t="shared" si="11"/>
        <v>67920.988949432009</v>
      </c>
      <c r="K19" s="57">
        <f t="shared" si="12"/>
        <v>68675.648493012632</v>
      </c>
      <c r="L19" s="57">
        <f t="shared" si="1"/>
        <v>64270.420968535604</v>
      </c>
      <c r="M19" s="12" t="s">
        <v>4248</v>
      </c>
      <c r="N19" s="12">
        <f>1028-$AD$19</f>
        <v>807</v>
      </c>
      <c r="O19" s="12">
        <v>0</v>
      </c>
      <c r="P19" s="12">
        <v>0</v>
      </c>
      <c r="Q19" s="12">
        <v>0</v>
      </c>
      <c r="R19" s="12">
        <f t="shared" si="2"/>
        <v>26.459016393442624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221</v>
      </c>
      <c r="AF19" s="26"/>
    </row>
    <row r="20" spans="1:32" ht="22.5" customHeight="1" x14ac:dyDescent="0.25">
      <c r="A20" s="148" t="s">
        <v>4240</v>
      </c>
      <c r="B20" s="86">
        <f t="shared" si="14"/>
        <v>81934.761973398257</v>
      </c>
      <c r="C20" s="86">
        <f t="shared" si="0"/>
        <v>84588.106637291989</v>
      </c>
      <c r="D20" s="86">
        <f t="shared" si="5"/>
        <v>84925.780946011015</v>
      </c>
      <c r="E20" s="86">
        <f t="shared" si="6"/>
        <v>85264.807895744205</v>
      </c>
      <c r="F20" s="86">
        <f t="shared" si="7"/>
        <v>85605.192923480194</v>
      </c>
      <c r="G20" s="86">
        <f t="shared" si="8"/>
        <v>85946.941488120443</v>
      </c>
      <c r="H20" s="86">
        <f t="shared" si="9"/>
        <v>86290.059070600342</v>
      </c>
      <c r="I20" s="86">
        <f t="shared" si="10"/>
        <v>86634.551173949323</v>
      </c>
      <c r="J20" s="86">
        <f t="shared" si="11"/>
        <v>86980.423323398587</v>
      </c>
      <c r="K20" s="86">
        <f t="shared" si="12"/>
        <v>87327.681066475314</v>
      </c>
      <c r="L20" s="86">
        <f t="shared" si="1"/>
        <v>85264.807895744205</v>
      </c>
      <c r="M20" s="148" t="s">
        <v>3857</v>
      </c>
      <c r="N20" s="148">
        <f>512-$AD$19</f>
        <v>291</v>
      </c>
      <c r="O20" s="148">
        <v>0</v>
      </c>
      <c r="P20" s="148">
        <v>0</v>
      </c>
      <c r="Q20" s="148">
        <v>0</v>
      </c>
      <c r="R20" s="148">
        <f t="shared" si="2"/>
        <v>9.5409836065573774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4241</v>
      </c>
      <c r="B21" s="191">
        <f t="shared" si="14"/>
        <v>65185.335682428566</v>
      </c>
      <c r="C21" s="191">
        <f>$S21/(1+($C$1-$O21+$P21)/36500)^$N21</f>
        <v>69803.527703438594</v>
      </c>
      <c r="D21" s="191">
        <f t="shared" si="5"/>
        <v>70403.383847216435</v>
      </c>
      <c r="E21" s="191">
        <f t="shared" si="6"/>
        <v>71008.403169422876</v>
      </c>
      <c r="F21" s="191">
        <f t="shared" si="7"/>
        <v>71618.630183017027</v>
      </c>
      <c r="G21" s="191">
        <f t="shared" si="8"/>
        <v>72234.109785302644</v>
      </c>
      <c r="H21" s="191">
        <f t="shared" si="9"/>
        <v>72854.887261310665</v>
      </c>
      <c r="I21" s="191">
        <f t="shared" si="10"/>
        <v>73481.008287100267</v>
      </c>
      <c r="J21" s="191">
        <f t="shared" si="11"/>
        <v>74112.518933174055</v>
      </c>
      <c r="K21" s="191">
        <f t="shared" si="12"/>
        <v>74749.465667897792</v>
      </c>
      <c r="L21" s="191">
        <f t="shared" si="1"/>
        <v>71008.403169422876</v>
      </c>
      <c r="M21" s="190" t="s">
        <v>4249</v>
      </c>
      <c r="N21" s="190">
        <f>846-$AD$19</f>
        <v>625</v>
      </c>
      <c r="O21" s="190">
        <v>0</v>
      </c>
      <c r="P21" s="190">
        <v>0</v>
      </c>
      <c r="Q21" s="190">
        <v>0</v>
      </c>
      <c r="R21" s="190">
        <f t="shared" si="2"/>
        <v>20.491803278688526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4305</v>
      </c>
      <c r="B22" s="191">
        <f t="shared" si="14"/>
        <v>78529.32547301735</v>
      </c>
      <c r="C22" s="191">
        <f>$S22/(1+($C$1-$O22+$P22)/36500)^$N22</f>
        <v>81624.764138848186</v>
      </c>
      <c r="D22" s="191">
        <f t="shared" si="5"/>
        <v>82020.200706799384</v>
      </c>
      <c r="E22" s="191">
        <f t="shared" si="6"/>
        <v>82417.558446671042</v>
      </c>
      <c r="F22" s="191">
        <f t="shared" si="7"/>
        <v>82816.846718705812</v>
      </c>
      <c r="G22" s="191">
        <f t="shared" si="8"/>
        <v>83218.074928860733</v>
      </c>
      <c r="H22" s="191">
        <f t="shared" si="9"/>
        <v>83621.252529069505</v>
      </c>
      <c r="I22" s="191">
        <f t="shared" si="10"/>
        <v>84026.389017433627</v>
      </c>
      <c r="J22" s="191">
        <f t="shared" si="11"/>
        <v>84433.493938470041</v>
      </c>
      <c r="K22" s="191">
        <f t="shared" si="12"/>
        <v>84842.576883343703</v>
      </c>
      <c r="L22" s="191">
        <f t="shared" si="1"/>
        <v>82417.558446671042</v>
      </c>
      <c r="M22" s="190" t="s">
        <v>4306</v>
      </c>
      <c r="N22" s="190">
        <f>574-$AD$19</f>
        <v>353</v>
      </c>
      <c r="O22" s="190">
        <v>0</v>
      </c>
      <c r="P22" s="190"/>
      <c r="Q22" s="190">
        <v>0</v>
      </c>
      <c r="R22" s="190">
        <f t="shared" si="2"/>
        <v>11.573770491803279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4242</v>
      </c>
      <c r="B23" s="88">
        <f t="shared" si="14"/>
        <v>83292.297181547372</v>
      </c>
      <c r="C23" s="88">
        <f t="shared" ref="C23:C37" si="16">$S23/(1+($C$1-$O23+$P23)/36500)^$N23</f>
        <v>85763.878531983268</v>
      </c>
      <c r="D23" s="88">
        <f t="shared" si="5"/>
        <v>86077.958331501533</v>
      </c>
      <c r="E23" s="88">
        <f t="shared" si="6"/>
        <v>86393.192660650035</v>
      </c>
      <c r="F23" s="88">
        <f t="shared" si="7"/>
        <v>86709.585779279005</v>
      </c>
      <c r="G23" s="88">
        <f t="shared" si="8"/>
        <v>87027.141962999769</v>
      </c>
      <c r="H23" s="88">
        <f t="shared" si="9"/>
        <v>87345.865503273468</v>
      </c>
      <c r="I23" s="88">
        <f t="shared" si="10"/>
        <v>87665.760707442867</v>
      </c>
      <c r="J23" s="88">
        <f t="shared" si="11"/>
        <v>87986.831898808581</v>
      </c>
      <c r="K23" s="88">
        <f t="shared" si="12"/>
        <v>88309.083416692214</v>
      </c>
      <c r="L23" s="88">
        <f t="shared" si="1"/>
        <v>86393.192660650035</v>
      </c>
      <c r="M23" s="87" t="s">
        <v>4250</v>
      </c>
      <c r="N23" s="87">
        <f>488-$AD$19</f>
        <v>267</v>
      </c>
      <c r="O23" s="87">
        <v>0</v>
      </c>
      <c r="P23" s="87">
        <v>0</v>
      </c>
      <c r="Q23" s="87">
        <v>0</v>
      </c>
      <c r="R23" s="87">
        <f t="shared" si="2"/>
        <v>8.7540983606557372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4243</v>
      </c>
      <c r="B24" s="86">
        <f t="shared" si="14"/>
        <v>81542.99813401571</v>
      </c>
      <c r="C24" s="86">
        <f t="shared" si="16"/>
        <v>84248.219384556345</v>
      </c>
      <c r="D24" s="86">
        <f t="shared" si="5"/>
        <v>84592.643495147582</v>
      </c>
      <c r="E24" s="86">
        <f t="shared" si="6"/>
        <v>84938.480427057497</v>
      </c>
      <c r="F24" s="86">
        <f t="shared" si="7"/>
        <v>85285.73599512309</v>
      </c>
      <c r="G24" s="86">
        <f t="shared" si="8"/>
        <v>85634.416038177354</v>
      </c>
      <c r="H24" s="86">
        <f t="shared" si="9"/>
        <v>85984.526419181857</v>
      </c>
      <c r="I24" s="86">
        <f t="shared" si="10"/>
        <v>86336.073025296966</v>
      </c>
      <c r="J24" s="86">
        <f t="shared" si="11"/>
        <v>86689.061768000945</v>
      </c>
      <c r="K24" s="86">
        <f t="shared" si="12"/>
        <v>87043.498583194974</v>
      </c>
      <c r="L24" s="86">
        <f t="shared" si="1"/>
        <v>84938.480427057497</v>
      </c>
      <c r="M24" s="148" t="s">
        <v>4251</v>
      </c>
      <c r="N24" s="148">
        <f>519-$AD$19</f>
        <v>298</v>
      </c>
      <c r="O24" s="148">
        <v>0</v>
      </c>
      <c r="P24" s="148">
        <v>0</v>
      </c>
      <c r="Q24" s="148">
        <v>0</v>
      </c>
      <c r="R24" s="148">
        <f t="shared" si="2"/>
        <v>9.7704918032786878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75948.128622149539</v>
      </c>
      <c r="C25" s="191">
        <f t="shared" si="16"/>
        <v>86392.789187373171</v>
      </c>
      <c r="D25" s="191">
        <f t="shared" si="5"/>
        <v>87795.646021845067</v>
      </c>
      <c r="E25" s="191">
        <f t="shared" si="6"/>
        <v>89221.302304685727</v>
      </c>
      <c r="F25" s="191">
        <f t="shared" si="7"/>
        <v>90670.128895969974</v>
      </c>
      <c r="G25" s="191">
        <f t="shared" si="8"/>
        <v>92142.502693535353</v>
      </c>
      <c r="H25" s="191">
        <f t="shared" si="9"/>
        <v>93638.806731296645</v>
      </c>
      <c r="I25" s="191">
        <f t="shared" si="10"/>
        <v>95159.430279093838</v>
      </c>
      <c r="J25" s="191">
        <f t="shared" si="11"/>
        <v>96704.768944598662</v>
      </c>
      <c r="K25" s="191">
        <f t="shared" si="12"/>
        <v>98275.224776280185</v>
      </c>
      <c r="L25" s="191">
        <f t="shared" si="1"/>
        <v>89221.302304685727</v>
      </c>
      <c r="M25" s="190" t="s">
        <v>1006</v>
      </c>
      <c r="N25" s="190">
        <f>1397-$AD$19</f>
        <v>1176</v>
      </c>
      <c r="O25" s="190">
        <v>17</v>
      </c>
      <c r="P25" s="190">
        <f>$AI$2</f>
        <v>0.54</v>
      </c>
      <c r="Q25" s="190">
        <v>6</v>
      </c>
      <c r="R25" s="190">
        <f t="shared" si="2"/>
        <v>38.557377049180324</v>
      </c>
      <c r="S25" s="191">
        <v>100000</v>
      </c>
      <c r="T25" s="191">
        <v>96000</v>
      </c>
      <c r="U25" s="191">
        <f t="shared" si="3"/>
        <v>169907.52491505819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95846.138312425814</v>
      </c>
      <c r="C26" s="88">
        <f t="shared" si="16"/>
        <v>99517.213687808471</v>
      </c>
      <c r="D26" s="88">
        <f t="shared" si="5"/>
        <v>99985.905105910788</v>
      </c>
      <c r="E26" s="88">
        <f t="shared" si="6"/>
        <v>100456.81036323583</v>
      </c>
      <c r="F26" s="88">
        <f t="shared" si="7"/>
        <v>100929.93994728473</v>
      </c>
      <c r="G26" s="88">
        <f t="shared" si="8"/>
        <v>101405.30439537604</v>
      </c>
      <c r="H26" s="88">
        <f t="shared" si="9"/>
        <v>101882.91429489997</v>
      </c>
      <c r="I26" s="88">
        <f t="shared" si="10"/>
        <v>102362.78028353474</v>
      </c>
      <c r="J26" s="88">
        <f t="shared" si="11"/>
        <v>102844.91304951902</v>
      </c>
      <c r="K26" s="88">
        <f t="shared" si="12"/>
        <v>103329.32333186531</v>
      </c>
      <c r="L26" s="88">
        <f t="shared" si="1"/>
        <v>100456.81036323583</v>
      </c>
      <c r="M26" s="87" t="s">
        <v>977</v>
      </c>
      <c r="N26" s="87">
        <f>564-$AD$19</f>
        <v>343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11.245901639344263</v>
      </c>
      <c r="S26" s="88">
        <v>100000</v>
      </c>
      <c r="T26" s="88">
        <v>100000</v>
      </c>
      <c r="U26" s="88">
        <f t="shared" si="3"/>
        <v>121218.56850525016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91043.356737295384</v>
      </c>
      <c r="C27" s="57">
        <f t="shared" si="16"/>
        <v>94706.229024287764</v>
      </c>
      <c r="D27" s="57">
        <f t="shared" si="5"/>
        <v>95174.359260350466</v>
      </c>
      <c r="E27" s="57">
        <f t="shared" si="6"/>
        <v>95644.809910559488</v>
      </c>
      <c r="F27" s="57">
        <f t="shared" si="7"/>
        <v>96117.592508676142</v>
      </c>
      <c r="G27" s="57">
        <f t="shared" si="8"/>
        <v>96592.718645983696</v>
      </c>
      <c r="H27" s="57">
        <f t="shared" si="9"/>
        <v>97070.199971513663</v>
      </c>
      <c r="I27" s="57">
        <f t="shared" si="10"/>
        <v>97550.048192380069</v>
      </c>
      <c r="J27" s="57">
        <f t="shared" si="11"/>
        <v>98032.275074054749</v>
      </c>
      <c r="K27" s="57">
        <f t="shared" si="12"/>
        <v>98516.892440636992</v>
      </c>
      <c r="L27" s="57">
        <f t="shared" si="1"/>
        <v>95644.809910559488</v>
      </c>
      <c r="M27" s="12" t="s">
        <v>978</v>
      </c>
      <c r="N27" s="12">
        <f>581-$AD$19</f>
        <v>360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11.803278688524591</v>
      </c>
      <c r="S27" s="57">
        <v>100000</v>
      </c>
      <c r="T27" s="57">
        <v>92000</v>
      </c>
      <c r="U27" s="57">
        <f t="shared" si="3"/>
        <v>116492.48658676572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95031.603261505647</v>
      </c>
      <c r="C28" s="86">
        <f t="shared" si="16"/>
        <v>99420.375375515141</v>
      </c>
      <c r="D28" s="86">
        <f t="shared" si="5"/>
        <v>99983.069929930047</v>
      </c>
      <c r="E28" s="86">
        <f t="shared" si="6"/>
        <v>100548.95696904088</v>
      </c>
      <c r="F28" s="86">
        <f t="shared" si="7"/>
        <v>101118.05464973359</v>
      </c>
      <c r="G28" s="86">
        <f t="shared" si="8"/>
        <v>101690.38123239912</v>
      </c>
      <c r="H28" s="86">
        <f t="shared" si="9"/>
        <v>102265.9550815453</v>
      </c>
      <c r="I28" s="86">
        <f t="shared" si="10"/>
        <v>102844.79466636502</v>
      </c>
      <c r="J28" s="86">
        <f t="shared" si="11"/>
        <v>103426.91856137416</v>
      </c>
      <c r="K28" s="86">
        <f t="shared" si="12"/>
        <v>104012.34544698034</v>
      </c>
      <c r="L28" s="86">
        <f t="shared" si="1"/>
        <v>100548.95696904088</v>
      </c>
      <c r="M28" s="148" t="s">
        <v>979</v>
      </c>
      <c r="N28" s="148">
        <f>633-$AD$19</f>
        <v>412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13.508196721311476</v>
      </c>
      <c r="S28" s="86">
        <v>100000</v>
      </c>
      <c r="T28" s="86">
        <v>100000</v>
      </c>
      <c r="U28" s="86">
        <f t="shared" si="3"/>
        <v>126002.8702050071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94235.645801756968</v>
      </c>
      <c r="C29" s="94">
        <f t="shared" si="16"/>
        <v>99325.032710365631</v>
      </c>
      <c r="D29" s="90">
        <f t="shared" si="5"/>
        <v>99980.275922110566</v>
      </c>
      <c r="E29" s="90">
        <f t="shared" si="6"/>
        <v>100639.85081168188</v>
      </c>
      <c r="F29" s="90">
        <f t="shared" si="7"/>
        <v>101303.78607484556</v>
      </c>
      <c r="G29" s="90">
        <f t="shared" si="8"/>
        <v>101972.11059785074</v>
      </c>
      <c r="H29" s="90">
        <f t="shared" si="9"/>
        <v>102644.85345872043</v>
      </c>
      <c r="I29" s="90">
        <f t="shared" si="10"/>
        <v>103322.04392849583</v>
      </c>
      <c r="J29" s="90">
        <f t="shared" si="11"/>
        <v>104003.71147256679</v>
      </c>
      <c r="K29" s="90">
        <f t="shared" si="12"/>
        <v>104689.88575192599</v>
      </c>
      <c r="L29" s="92">
        <f t="shared" si="1"/>
        <v>100639.85081168188</v>
      </c>
      <c r="M29" s="91" t="s">
        <v>980</v>
      </c>
      <c r="N29" s="91">
        <f>701-$AD$19</f>
        <v>480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15.737704918032787</v>
      </c>
      <c r="S29" s="92">
        <v>100000</v>
      </c>
      <c r="T29" s="92">
        <v>100000</v>
      </c>
      <c r="U29" s="92">
        <f t="shared" si="3"/>
        <v>130902.54286457643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90088.677630586681</v>
      </c>
      <c r="C30" s="94">
        <f t="shared" si="16"/>
        <v>95235.021044407404</v>
      </c>
      <c r="D30" s="90">
        <f t="shared" si="5"/>
        <v>95898.690460564234</v>
      </c>
      <c r="E30" s="90">
        <f t="shared" si="6"/>
        <v>96566.994011341521</v>
      </c>
      <c r="F30" s="90">
        <f t="shared" si="7"/>
        <v>97239.964119177763</v>
      </c>
      <c r="G30" s="90">
        <f t="shared" si="8"/>
        <v>97917.633433774929</v>
      </c>
      <c r="H30" s="90">
        <f t="shared" si="9"/>
        <v>98600.034833751502</v>
      </c>
      <c r="I30" s="90">
        <f t="shared" si="10"/>
        <v>99287.2014281843</v>
      </c>
      <c r="J30" s="90">
        <f t="shared" si="11"/>
        <v>99979.166558308498</v>
      </c>
      <c r="K30" s="90">
        <f t="shared" si="12"/>
        <v>100675.96379906396</v>
      </c>
      <c r="L30" s="94">
        <f t="shared" si="1"/>
        <v>96566.994011341521</v>
      </c>
      <c r="M30" s="93" t="s">
        <v>1004</v>
      </c>
      <c r="N30" s="93">
        <f>728-$AD$19</f>
        <v>507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16.622950819672131</v>
      </c>
      <c r="S30" s="94">
        <v>100000</v>
      </c>
      <c r="T30" s="94">
        <v>95000</v>
      </c>
      <c r="U30" s="94">
        <f t="shared" si="3"/>
        <v>127476.99229635703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88932.46437197768</v>
      </c>
      <c r="C31" s="86">
        <f t="shared" si="16"/>
        <v>93427.167126106651</v>
      </c>
      <c r="D31" s="86">
        <f t="shared" si="5"/>
        <v>94004.783194880743</v>
      </c>
      <c r="E31" s="86">
        <f t="shared" si="6"/>
        <v>94585.978376122206</v>
      </c>
      <c r="F31" s="86">
        <f t="shared" si="7"/>
        <v>95170.774896728151</v>
      </c>
      <c r="G31" s="86">
        <f t="shared" si="8"/>
        <v>95759.195121977449</v>
      </c>
      <c r="H31" s="86">
        <f t="shared" si="9"/>
        <v>96351.26155631787</v>
      </c>
      <c r="I31" s="86">
        <f t="shared" si="10"/>
        <v>96946.996844291003</v>
      </c>
      <c r="J31" s="86">
        <f t="shared" si="11"/>
        <v>97546.423771387344</v>
      </c>
      <c r="K31" s="86">
        <f t="shared" si="12"/>
        <v>98149.565264898178</v>
      </c>
      <c r="L31" s="86">
        <f t="shared" si="1"/>
        <v>94585.978376122206</v>
      </c>
      <c r="M31" s="148" t="s">
        <v>981</v>
      </c>
      <c r="N31" s="148">
        <f>671-$AD$19</f>
        <v>450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14.754098360655737</v>
      </c>
      <c r="S31" s="86">
        <v>100000</v>
      </c>
      <c r="T31" s="86">
        <v>90600</v>
      </c>
      <c r="U31" s="86">
        <f t="shared" si="3"/>
        <v>121024.24847495178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80204.847147152221</v>
      </c>
      <c r="C32" s="94">
        <f t="shared" si="16"/>
        <v>87207.505002750127</v>
      </c>
      <c r="D32" s="90">
        <f t="shared" si="5"/>
        <v>88124.83104775133</v>
      </c>
      <c r="E32" s="90">
        <f t="shared" si="6"/>
        <v>89051.819106196475</v>
      </c>
      <c r="F32" s="90">
        <f t="shared" si="7"/>
        <v>89988.571080596768</v>
      </c>
      <c r="G32" s="90">
        <f t="shared" si="8"/>
        <v>90935.189949636959</v>
      </c>
      <c r="H32" s="90">
        <f t="shared" si="9"/>
        <v>91891.779779472112</v>
      </c>
      <c r="I32" s="90">
        <f t="shared" si="10"/>
        <v>92858.445735364628</v>
      </c>
      <c r="J32" s="90">
        <f t="shared" si="11"/>
        <v>93835.294093165285</v>
      </c>
      <c r="K32" s="90">
        <f t="shared" si="12"/>
        <v>94822.432251179489</v>
      </c>
      <c r="L32" s="92">
        <f t="shared" si="1"/>
        <v>89051.819106196475</v>
      </c>
      <c r="M32" s="91" t="s">
        <v>982</v>
      </c>
      <c r="N32" s="91">
        <f>985-$AD$19</f>
        <v>764</v>
      </c>
      <c r="O32" s="91">
        <v>15</v>
      </c>
      <c r="P32" s="91">
        <f>$AI$2</f>
        <v>0.54</v>
      </c>
      <c r="Q32" s="91">
        <v>6</v>
      </c>
      <c r="R32" s="91">
        <f t="shared" si="2"/>
        <v>25.049180327868854</v>
      </c>
      <c r="S32" s="92">
        <v>100000</v>
      </c>
      <c r="T32" s="92">
        <v>85800</v>
      </c>
      <c r="U32" s="92">
        <f t="shared" si="3"/>
        <v>135326.78677832626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90735.003166654918</v>
      </c>
      <c r="C33" s="94">
        <f t="shared" si="16"/>
        <v>92157.129467001418</v>
      </c>
      <c r="D33" s="90">
        <f t="shared" si="5"/>
        <v>92336.466435488081</v>
      </c>
      <c r="E33" s="90">
        <f t="shared" si="6"/>
        <v>92516.154854624707</v>
      </c>
      <c r="F33" s="90">
        <f t="shared" si="7"/>
        <v>92696.195417986892</v>
      </c>
      <c r="G33" s="90">
        <f t="shared" si="8"/>
        <v>92876.58882051993</v>
      </c>
      <c r="H33" s="90">
        <f t="shared" si="9"/>
        <v>93057.335758558853</v>
      </c>
      <c r="I33" s="90">
        <f t="shared" si="10"/>
        <v>93238.436929815507</v>
      </c>
      <c r="J33" s="90">
        <f t="shared" si="11"/>
        <v>93419.893033391287</v>
      </c>
      <c r="K33" s="90">
        <f t="shared" si="12"/>
        <v>93601.704769781951</v>
      </c>
      <c r="L33" s="94">
        <f t="shared" si="1"/>
        <v>92516.154854624707</v>
      </c>
      <c r="M33" s="93" t="s">
        <v>983</v>
      </c>
      <c r="N33" s="93">
        <f>363-$AD$19</f>
        <v>142</v>
      </c>
      <c r="O33" s="93">
        <v>0</v>
      </c>
      <c r="P33" s="93">
        <v>0</v>
      </c>
      <c r="Q33" s="93">
        <v>0</v>
      </c>
      <c r="R33" s="93">
        <f t="shared" si="2"/>
        <v>4.6557377049180326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85282.065957066428</v>
      </c>
      <c r="C34" s="94">
        <f t="shared" si="16"/>
        <v>95670.686135857031</v>
      </c>
      <c r="D34" s="90">
        <f t="shared" si="5"/>
        <v>97055.336646415322</v>
      </c>
      <c r="E34" s="90">
        <f t="shared" si="6"/>
        <v>98460.046709783375</v>
      </c>
      <c r="F34" s="90">
        <f t="shared" si="7"/>
        <v>99885.107211249371</v>
      </c>
      <c r="G34" s="90">
        <f t="shared" si="8"/>
        <v>101330.81325828798</v>
      </c>
      <c r="H34" s="90">
        <f t="shared" si="9"/>
        <v>102797.46424197376</v>
      </c>
      <c r="I34" s="90">
        <f t="shared" si="10"/>
        <v>104285.36389917105</v>
      </c>
      <c r="J34" s="90">
        <f t="shared" si="11"/>
        <v>105794.82037567743</v>
      </c>
      <c r="K34" s="90">
        <f t="shared" si="12"/>
        <v>107326.14629033538</v>
      </c>
      <c r="L34" s="90">
        <f t="shared" si="1"/>
        <v>98460.046709783375</v>
      </c>
      <c r="M34" s="89" t="s">
        <v>974</v>
      </c>
      <c r="N34" s="89">
        <f>1270-$AD$19</f>
        <v>1049</v>
      </c>
      <c r="O34" s="89">
        <v>20</v>
      </c>
      <c r="P34" s="89">
        <f>$AI$2</f>
        <v>0.54</v>
      </c>
      <c r="Q34" s="89">
        <v>6</v>
      </c>
      <c r="R34" s="89">
        <f t="shared" si="2"/>
        <v>34.393442622950822</v>
      </c>
      <c r="S34" s="90">
        <v>100000</v>
      </c>
      <c r="T34" s="90">
        <v>100000</v>
      </c>
      <c r="U34" s="90">
        <f t="shared" si="3"/>
        <v>174899.47658801681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98727.420105396945</v>
      </c>
      <c r="C35" s="86">
        <f t="shared" si="16"/>
        <v>100176.88345609989</v>
      </c>
      <c r="D35" s="86">
        <f t="shared" si="5"/>
        <v>100359.56754991825</v>
      </c>
      <c r="E35" s="86">
        <f t="shared" si="6"/>
        <v>100542.58729869321</v>
      </c>
      <c r="F35" s="86">
        <f t="shared" si="7"/>
        <v>100725.9433237537</v>
      </c>
      <c r="G35" s="86">
        <f t="shared" si="8"/>
        <v>100909.63624758183</v>
      </c>
      <c r="H35" s="86">
        <f t="shared" si="9"/>
        <v>101093.66669382752</v>
      </c>
      <c r="I35" s="86">
        <f t="shared" si="10"/>
        <v>101278.03528730018</v>
      </c>
      <c r="J35" s="86">
        <f t="shared" si="11"/>
        <v>101462.74265397407</v>
      </c>
      <c r="K35" s="86">
        <f t="shared" si="12"/>
        <v>101647.78942099182</v>
      </c>
      <c r="L35" s="86">
        <f t="shared" si="1"/>
        <v>100542.58729869321</v>
      </c>
      <c r="M35" s="148" t="s">
        <v>976</v>
      </c>
      <c r="N35" s="148">
        <f>354-$AD$19</f>
        <v>133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4.360655737704918</v>
      </c>
      <c r="S35" s="86">
        <v>100000</v>
      </c>
      <c r="T35" s="86">
        <v>103000</v>
      </c>
      <c r="U35" s="86">
        <f t="shared" si="3"/>
        <v>108140.08045045978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94109.705700633902</v>
      </c>
      <c r="C36" s="191">
        <f t="shared" si="16"/>
        <v>100000</v>
      </c>
      <c r="D36" s="191">
        <f t="shared" si="5"/>
        <v>100761.79632295256</v>
      </c>
      <c r="E36" s="191">
        <f t="shared" si="6"/>
        <v>101529.40653751018</v>
      </c>
      <c r="F36" s="191">
        <f t="shared" si="7"/>
        <v>102302.87509480864</v>
      </c>
      <c r="G36" s="191">
        <f t="shared" si="8"/>
        <v>103082.24678642805</v>
      </c>
      <c r="H36" s="191">
        <f t="shared" si="9"/>
        <v>103867.56674708096</v>
      </c>
      <c r="I36" s="191">
        <f t="shared" si="10"/>
        <v>104658.88045716338</v>
      </c>
      <c r="J36" s="191">
        <f t="shared" si="11"/>
        <v>105456.2337454614</v>
      </c>
      <c r="K36" s="191">
        <f t="shared" si="12"/>
        <v>106259.67279179442</v>
      </c>
      <c r="L36" s="191">
        <f t="shared" si="1"/>
        <v>101529.40653751018</v>
      </c>
      <c r="M36" s="190" t="s">
        <v>998</v>
      </c>
      <c r="N36" s="190">
        <f>775-$AD$19</f>
        <v>554</v>
      </c>
      <c r="O36" s="190">
        <v>21</v>
      </c>
      <c r="P36" s="190">
        <v>0</v>
      </c>
      <c r="Q36" s="190">
        <v>1</v>
      </c>
      <c r="R36" s="190">
        <f t="shared" si="2"/>
        <v>18.16393442622951</v>
      </c>
      <c r="S36" s="191">
        <v>100000</v>
      </c>
      <c r="T36" s="191">
        <v>104000</v>
      </c>
      <c r="U36" s="191">
        <f t="shared" si="3"/>
        <v>137521.92355715131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77129.897010457833</v>
      </c>
      <c r="C37" s="88">
        <f t="shared" si="16"/>
        <v>87104.889456373989</v>
      </c>
      <c r="D37" s="88">
        <f t="shared" si="5"/>
        <v>88439.323871267101</v>
      </c>
      <c r="E37" s="88">
        <f t="shared" si="6"/>
        <v>89794.220329527161</v>
      </c>
      <c r="F37" s="88">
        <f t="shared" si="7"/>
        <v>91169.892880153391</v>
      </c>
      <c r="G37" s="88">
        <f t="shared" si="8"/>
        <v>92566.660396608058</v>
      </c>
      <c r="H37" s="88">
        <f t="shared" si="9"/>
        <v>93984.846650933832</v>
      </c>
      <c r="I37" s="88">
        <f t="shared" si="10"/>
        <v>95424.780388945961</v>
      </c>
      <c r="J37" s="88">
        <f t="shared" si="11"/>
        <v>96886.795406989084</v>
      </c>
      <c r="K37" s="88">
        <f t="shared" si="12"/>
        <v>98371.230629304686</v>
      </c>
      <c r="L37" s="88">
        <f t="shared" si="1"/>
        <v>89794.220329527161</v>
      </c>
      <c r="M37" s="87" t="s">
        <v>1047</v>
      </c>
      <c r="N37" s="87">
        <f>1331-$AD$19</f>
        <v>1110</v>
      </c>
      <c r="O37" s="87">
        <v>17</v>
      </c>
      <c r="P37" s="87">
        <f>AI2</f>
        <v>0.54</v>
      </c>
      <c r="Q37" s="87">
        <v>6</v>
      </c>
      <c r="R37" s="87">
        <f t="shared" si="2"/>
        <v>36.393442622950822</v>
      </c>
      <c r="S37" s="88">
        <v>100000</v>
      </c>
      <c r="T37" s="88"/>
      <c r="U37" s="88">
        <f t="shared" si="3"/>
        <v>164927.2880527548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4234</v>
      </c>
      <c r="AD62" s="25"/>
      <c r="AE62" s="26"/>
    </row>
    <row r="63" spans="1:31" x14ac:dyDescent="0.25">
      <c r="A63">
        <v>611</v>
      </c>
      <c r="B63" t="s">
        <v>4226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4227</v>
      </c>
      <c r="AD65" s="25"/>
      <c r="AE65" s="26"/>
    </row>
    <row r="66" spans="1:31" x14ac:dyDescent="0.25">
      <c r="A66">
        <v>702</v>
      </c>
      <c r="B66" t="s">
        <v>4228</v>
      </c>
      <c r="AD66" s="25"/>
      <c r="AE66" s="26"/>
    </row>
    <row r="67" spans="1:31" x14ac:dyDescent="0.25">
      <c r="A67">
        <v>704</v>
      </c>
      <c r="B67" t="s">
        <v>4229</v>
      </c>
      <c r="AD67" s="25"/>
      <c r="AE67" s="26"/>
    </row>
    <row r="68" spans="1:31" x14ac:dyDescent="0.25">
      <c r="A68">
        <v>705</v>
      </c>
      <c r="B68" t="s">
        <v>4230</v>
      </c>
      <c r="AD68" s="25"/>
      <c r="AE68" s="26"/>
    </row>
    <row r="69" spans="1:31" x14ac:dyDescent="0.25">
      <c r="A69">
        <v>706</v>
      </c>
      <c r="B69" t="s">
        <v>4231</v>
      </c>
      <c r="AD69" s="25"/>
      <c r="AE69" s="26"/>
    </row>
    <row r="70" spans="1:31" x14ac:dyDescent="0.25">
      <c r="A70" s="25">
        <v>711</v>
      </c>
      <c r="B70" s="25" t="s">
        <v>4232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4233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1233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14200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4269</v>
      </c>
      <c r="B8" s="95">
        <f>B2*B4*B5*B6/(B1*B3)+B7</f>
        <v>4125826.3479099674</v>
      </c>
      <c r="C8" s="99">
        <f>B2*B4*B5/(B1*B3)+B7/B6</f>
        <v>290.55115126126526</v>
      </c>
      <c r="D8" s="99" t="s">
        <v>4272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4270</v>
      </c>
      <c r="B9" s="95">
        <v>4300000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4271</v>
      </c>
      <c r="B10" s="95">
        <f>B9-B8</f>
        <v>174173.65209003258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4216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-105</v>
      </c>
      <c r="C91" s="144">
        <f>$B$89/(1+(C$90/36500))^$B91</f>
        <v>3159394.3470652411</v>
      </c>
      <c r="D91" s="144">
        <f>$B$89/(1+(D$90/36500))^$B91</f>
        <v>3168491.4835099429</v>
      </c>
      <c r="E91" s="144">
        <f t="shared" ref="E91:K106" si="0">$B$89/(1+(E$90/36500))^$B91</f>
        <v>3177614.5640011621</v>
      </c>
      <c r="F91" s="144">
        <f t="shared" si="0"/>
        <v>3186763.6618150617</v>
      </c>
      <c r="G91" s="144">
        <f t="shared" si="0"/>
        <v>3195938.8504326227</v>
      </c>
      <c r="H91" s="144">
        <f t="shared" si="0"/>
        <v>3205140.2035406586</v>
      </c>
      <c r="I91" s="144">
        <f t="shared" si="0"/>
        <v>3214367.7950318069</v>
      </c>
      <c r="J91" s="144">
        <f t="shared" si="0"/>
        <v>3223621.6990053658</v>
      </c>
      <c r="K91" s="144">
        <f>$B$89/(1+(K$90/36500))^$B91</f>
        <v>3232901.9897679426</v>
      </c>
      <c r="L91" s="99"/>
    </row>
    <row r="92" spans="1:12" x14ac:dyDescent="0.25">
      <c r="A92" s="145" t="s">
        <v>3860</v>
      </c>
      <c r="B92" s="91">
        <f>120-'اوراق بدون ریسک'!$AD$19</f>
        <v>-101</v>
      </c>
      <c r="C92" s="146">
        <f t="shared" ref="C92:K112" si="1">$B$89/(1+(C$90/36500))^$B92</f>
        <v>3153169.7931197286</v>
      </c>
      <c r="D92" s="146">
        <f t="shared" si="1"/>
        <v>3161902.6533215526</v>
      </c>
      <c r="E92" s="146">
        <f t="shared" si="0"/>
        <v>3170659.4594903332</v>
      </c>
      <c r="F92" s="146">
        <f t="shared" si="0"/>
        <v>3179440.2766287909</v>
      </c>
      <c r="G92" s="146">
        <f t="shared" si="0"/>
        <v>3188245.1699141962</v>
      </c>
      <c r="H92" s="146">
        <f t="shared" si="0"/>
        <v>3197074.2046992569</v>
      </c>
      <c r="I92" s="146">
        <f t="shared" si="0"/>
        <v>3205927.4465120244</v>
      </c>
      <c r="J92" s="146">
        <f t="shared" si="0"/>
        <v>3214804.9610566278</v>
      </c>
      <c r="K92" s="146">
        <f t="shared" si="0"/>
        <v>3223706.8142138044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-84</v>
      </c>
      <c r="C93" s="149">
        <f t="shared" si="1"/>
        <v>3126851.9612692161</v>
      </c>
      <c r="D93" s="149">
        <f t="shared" si="1"/>
        <v>3134052.6370144724</v>
      </c>
      <c r="E93" s="149">
        <f t="shared" si="0"/>
        <v>3141269.6969918362</v>
      </c>
      <c r="F93" s="149">
        <f t="shared" si="0"/>
        <v>3148503.1780313989</v>
      </c>
      <c r="G93" s="149">
        <f t="shared" si="0"/>
        <v>3155753.1170449308</v>
      </c>
      <c r="H93" s="149">
        <f t="shared" si="0"/>
        <v>3163019.5510264141</v>
      </c>
      <c r="I93" s="149">
        <f t="shared" si="0"/>
        <v>3170302.517051761</v>
      </c>
      <c r="J93" s="149">
        <f t="shared" si="0"/>
        <v>3177602.0522792111</v>
      </c>
      <c r="K93" s="149">
        <f t="shared" si="0"/>
        <v>3184918.1939495658</v>
      </c>
      <c r="L93" s="144">
        <f t="shared" ref="L93:L114" si="2">$B$89/(1+(L$92/36500))^$B91</f>
        <v>3242208.7418339564</v>
      </c>
    </row>
    <row r="94" spans="1:12" x14ac:dyDescent="0.25">
      <c r="A94" s="150" t="s">
        <v>3862</v>
      </c>
      <c r="B94" s="151">
        <f>116-'اوراق بدون ریسک'!$AD$19</f>
        <v>-105</v>
      </c>
      <c r="C94" s="152">
        <f t="shared" si="1"/>
        <v>3159394.3470652411</v>
      </c>
      <c r="D94" s="152">
        <f t="shared" si="1"/>
        <v>3168491.4835099429</v>
      </c>
      <c r="E94" s="152">
        <f t="shared" si="0"/>
        <v>3177614.5640011621</v>
      </c>
      <c r="F94" s="152">
        <f t="shared" si="0"/>
        <v>3186763.6618150617</v>
      </c>
      <c r="G94" s="152">
        <f t="shared" si="0"/>
        <v>3195938.8504326227</v>
      </c>
      <c r="H94" s="152">
        <f t="shared" si="0"/>
        <v>3205140.2035406586</v>
      </c>
      <c r="I94" s="152">
        <f t="shared" si="0"/>
        <v>3214367.7950318069</v>
      </c>
      <c r="J94" s="152">
        <f t="shared" si="0"/>
        <v>3223621.6990053658</v>
      </c>
      <c r="K94" s="152">
        <f t="shared" si="0"/>
        <v>3232901.9897679426</v>
      </c>
      <c r="L94" s="146">
        <f t="shared" si="2"/>
        <v>3232633.0720413066</v>
      </c>
    </row>
    <row r="95" spans="1:12" x14ac:dyDescent="0.25">
      <c r="A95" s="153" t="s">
        <v>3863</v>
      </c>
      <c r="B95" s="154">
        <f>167-'اوراق بدون ریسک'!$AD$19</f>
        <v>-54</v>
      </c>
      <c r="C95" s="155">
        <f t="shared" si="1"/>
        <v>3080943.4390982469</v>
      </c>
      <c r="D95" s="155">
        <f t="shared" si="1"/>
        <v>3085502.6080933353</v>
      </c>
      <c r="E95" s="155">
        <f t="shared" si="0"/>
        <v>3090068.398611031</v>
      </c>
      <c r="F95" s="155">
        <f t="shared" si="0"/>
        <v>3094640.8200864163</v>
      </c>
      <c r="G95" s="155">
        <f t="shared" si="0"/>
        <v>3099219.8819676973</v>
      </c>
      <c r="H95" s="155">
        <f t="shared" si="0"/>
        <v>3103805.5937164379</v>
      </c>
      <c r="I95" s="155">
        <f t="shared" si="0"/>
        <v>3108397.9648072976</v>
      </c>
      <c r="J95" s="155">
        <f t="shared" si="0"/>
        <v>3112997.0047281794</v>
      </c>
      <c r="K95" s="155">
        <f t="shared" si="0"/>
        <v>3117602.7229802865</v>
      </c>
      <c r="L95" s="149">
        <f t="shared" si="2"/>
        <v>3192250.9793863157</v>
      </c>
    </row>
    <row r="96" spans="1:12" x14ac:dyDescent="0.25">
      <c r="A96" s="158" t="s">
        <v>3864</v>
      </c>
      <c r="B96" s="23">
        <f>181-'اوراق بدون ریسک'!$AD$19</f>
        <v>-40</v>
      </c>
      <c r="C96" s="159">
        <f t="shared" si="1"/>
        <v>3059750.7356607192</v>
      </c>
      <c r="D96" s="159">
        <f t="shared" si="1"/>
        <v>3063104.0246230285</v>
      </c>
      <c r="E96" s="159">
        <f t="shared" si="0"/>
        <v>3066460.8966003638</v>
      </c>
      <c r="F96" s="159">
        <f t="shared" si="0"/>
        <v>3069821.3553229384</v>
      </c>
      <c r="G96" s="159">
        <f t="shared" si="0"/>
        <v>3073185.4045246965</v>
      </c>
      <c r="H96" s="159">
        <f t="shared" si="0"/>
        <v>3076553.0479434901</v>
      </c>
      <c r="I96" s="159">
        <f t="shared" si="0"/>
        <v>3079924.2893208577</v>
      </c>
      <c r="J96" s="159">
        <f t="shared" si="0"/>
        <v>3083299.1324021393</v>
      </c>
      <c r="K96" s="159">
        <f t="shared" si="0"/>
        <v>3086677.5809364985</v>
      </c>
      <c r="L96" s="152">
        <f t="shared" si="2"/>
        <v>3242208.7418339564</v>
      </c>
    </row>
    <row r="97" spans="1:12" x14ac:dyDescent="0.25">
      <c r="A97" s="160" t="s">
        <v>3865</v>
      </c>
      <c r="B97" s="87">
        <f>197-'اوراق بدون ریسک'!$AD$19</f>
        <v>-24</v>
      </c>
      <c r="C97" s="140">
        <f t="shared" si="1"/>
        <v>3035708.9470489561</v>
      </c>
      <c r="D97" s="140">
        <f t="shared" si="1"/>
        <v>3037704.6741690729</v>
      </c>
      <c r="E97" s="140">
        <f t="shared" si="0"/>
        <v>3039701.6586122676</v>
      </c>
      <c r="F97" s="140">
        <f t="shared" si="0"/>
        <v>3041699.9011362046</v>
      </c>
      <c r="G97" s="140">
        <f t="shared" si="0"/>
        <v>3043699.402498953</v>
      </c>
      <c r="H97" s="140">
        <f t="shared" si="0"/>
        <v>3045700.1634590905</v>
      </c>
      <c r="I97" s="140">
        <f t="shared" si="0"/>
        <v>3047702.1847755727</v>
      </c>
      <c r="J97" s="140">
        <f t="shared" si="0"/>
        <v>3049705.4672077959</v>
      </c>
      <c r="K97" s="140">
        <f t="shared" si="0"/>
        <v>3051710.0115156071</v>
      </c>
      <c r="L97" s="155">
        <f t="shared" si="2"/>
        <v>3122215.1290781004</v>
      </c>
    </row>
    <row r="98" spans="1:12" x14ac:dyDescent="0.25">
      <c r="A98" s="161" t="s">
        <v>3866</v>
      </c>
      <c r="B98" s="23">
        <f>214-'اوراق بدون ریسک'!$AD$19</f>
        <v>-7</v>
      </c>
      <c r="C98" s="106">
        <f t="shared" si="1"/>
        <v>3010371.4984314218</v>
      </c>
      <c r="D98" s="106">
        <f t="shared" si="1"/>
        <v>3010948.5927878735</v>
      </c>
      <c r="E98" s="106">
        <f t="shared" si="0"/>
        <v>3011525.7819675845</v>
      </c>
      <c r="F98" s="106">
        <f t="shared" si="0"/>
        <v>3012103.0659835381</v>
      </c>
      <c r="G98" s="106">
        <f t="shared" si="0"/>
        <v>3012680.4448487144</v>
      </c>
      <c r="H98" s="106">
        <f t="shared" si="0"/>
        <v>3013257.9185761083</v>
      </c>
      <c r="I98" s="106">
        <f t="shared" si="0"/>
        <v>3013835.4871787056</v>
      </c>
      <c r="J98" s="106">
        <f t="shared" si="0"/>
        <v>3014413.1506694909</v>
      </c>
      <c r="K98" s="106">
        <f t="shared" si="0"/>
        <v>3014990.9090614584</v>
      </c>
      <c r="L98" s="159">
        <f t="shared" si="2"/>
        <v>3090059.6386769032</v>
      </c>
    </row>
    <row r="99" spans="1:12" x14ac:dyDescent="0.25">
      <c r="A99" s="162" t="s">
        <v>3867</v>
      </c>
      <c r="B99" s="163">
        <f>272-'اوراق بدون ریسک'!$AD$19</f>
        <v>51</v>
      </c>
      <c r="C99" s="164">
        <f t="shared" si="1"/>
        <v>2925507.0124058425</v>
      </c>
      <c r="D99" s="164">
        <f t="shared" si="1"/>
        <v>2921424.2400380303</v>
      </c>
      <c r="E99" s="164">
        <f t="shared" si="0"/>
        <v>2917347.2770594032</v>
      </c>
      <c r="F99" s="164">
        <f t="shared" si="0"/>
        <v>2913276.1150450278</v>
      </c>
      <c r="G99" s="164">
        <f t="shared" si="0"/>
        <v>2909210.7455824753</v>
      </c>
      <c r="H99" s="164">
        <f t="shared" si="0"/>
        <v>2905151.1602716045</v>
      </c>
      <c r="I99" s="164">
        <f t="shared" si="0"/>
        <v>2901097.3507248005</v>
      </c>
      <c r="J99" s="164">
        <f t="shared" si="0"/>
        <v>2897049.3085668348</v>
      </c>
      <c r="K99" s="164">
        <f t="shared" si="0"/>
        <v>2893007.0254348177</v>
      </c>
      <c r="L99" s="140">
        <f t="shared" si="2"/>
        <v>3053715.818459298</v>
      </c>
    </row>
    <row r="100" spans="1:12" x14ac:dyDescent="0.25">
      <c r="A100" s="147" t="s">
        <v>3868</v>
      </c>
      <c r="B100" s="148">
        <f>302-'اوراق بدون ریسک'!$AD$19</f>
        <v>81</v>
      </c>
      <c r="C100" s="149">
        <f t="shared" si="1"/>
        <v>2882554.6420333604</v>
      </c>
      <c r="D100" s="149">
        <f t="shared" si="1"/>
        <v>2876168.0660766787</v>
      </c>
      <c r="E100" s="149">
        <f t="shared" si="0"/>
        <v>2869795.8144911965</v>
      </c>
      <c r="F100" s="149">
        <f t="shared" si="0"/>
        <v>2863437.8547580452</v>
      </c>
      <c r="G100" s="149">
        <f t="shared" si="0"/>
        <v>2857094.154433154</v>
      </c>
      <c r="H100" s="149">
        <f t="shared" si="0"/>
        <v>2850764.6811467684</v>
      </c>
      <c r="I100" s="149">
        <f t="shared" si="0"/>
        <v>2844449.4026036761</v>
      </c>
      <c r="J100" s="149">
        <f t="shared" si="0"/>
        <v>2838148.2865828532</v>
      </c>
      <c r="K100" s="149">
        <f t="shared" si="0"/>
        <v>2831861.3009372354</v>
      </c>
      <c r="L100" s="106">
        <f t="shared" si="2"/>
        <v>3015568.7623676001</v>
      </c>
    </row>
    <row r="101" spans="1:12" x14ac:dyDescent="0.25">
      <c r="A101" s="150" t="s">
        <v>3869</v>
      </c>
      <c r="B101" s="151">
        <f>319-'اوراق بدون ریسک'!$AD$19</f>
        <v>98</v>
      </c>
      <c r="C101" s="152">
        <f t="shared" si="1"/>
        <v>2858495.4909738507</v>
      </c>
      <c r="D101" s="152">
        <f t="shared" si="1"/>
        <v>2850834.7980021569</v>
      </c>
      <c r="E101" s="152">
        <f t="shared" si="0"/>
        <v>2843194.8444139394</v>
      </c>
      <c r="F101" s="152">
        <f t="shared" si="0"/>
        <v>2835575.5734969908</v>
      </c>
      <c r="G101" s="152">
        <f t="shared" si="0"/>
        <v>2827976.9286958338</v>
      </c>
      <c r="H101" s="152">
        <f t="shared" si="0"/>
        <v>2820398.8536109137</v>
      </c>
      <c r="I101" s="152">
        <f t="shared" si="0"/>
        <v>2812841.291998649</v>
      </c>
      <c r="J101" s="152">
        <f t="shared" si="0"/>
        <v>2805304.187770769</v>
      </c>
      <c r="K101" s="152">
        <f t="shared" si="0"/>
        <v>2797787.4849938219</v>
      </c>
      <c r="L101" s="164">
        <f t="shared" si="2"/>
        <v>2888970.4929782078</v>
      </c>
    </row>
    <row r="102" spans="1:12" x14ac:dyDescent="0.25">
      <c r="A102" s="147" t="s">
        <v>3870</v>
      </c>
      <c r="B102" s="148">
        <f>334-'اوراق بدون ریسک'!$AD$19</f>
        <v>113</v>
      </c>
      <c r="C102" s="149">
        <f t="shared" si="1"/>
        <v>2837433.6447368865</v>
      </c>
      <c r="D102" s="149">
        <f t="shared" si="1"/>
        <v>2828667.2811978785</v>
      </c>
      <c r="E102" s="149">
        <f t="shared" si="0"/>
        <v>2819928.2406203733</v>
      </c>
      <c r="F102" s="149">
        <f t="shared" si="0"/>
        <v>2811216.4370996165</v>
      </c>
      <c r="G102" s="149">
        <f t="shared" si="0"/>
        <v>2802531.7850034107</v>
      </c>
      <c r="H102" s="149">
        <f t="shared" si="0"/>
        <v>2793874.1989708059</v>
      </c>
      <c r="I102" s="149">
        <f t="shared" si="0"/>
        <v>2785243.5939117926</v>
      </c>
      <c r="J102" s="149">
        <f t="shared" si="0"/>
        <v>2776639.8850061749</v>
      </c>
      <c r="K102" s="149">
        <f t="shared" si="0"/>
        <v>2768062.9877026426</v>
      </c>
      <c r="L102" s="149">
        <f t="shared" si="2"/>
        <v>2825588.413593594</v>
      </c>
    </row>
    <row r="103" spans="1:12" x14ac:dyDescent="0.25">
      <c r="A103" s="150" t="s">
        <v>3871</v>
      </c>
      <c r="B103" s="151">
        <f>349-'اوراق بدون ریسک'!$AD$19</f>
        <v>128</v>
      </c>
      <c r="C103" s="152">
        <f t="shared" si="1"/>
        <v>2816526.9855094221</v>
      </c>
      <c r="D103" s="152">
        <f t="shared" si="1"/>
        <v>2806672.1345364149</v>
      </c>
      <c r="E103" s="152">
        <f t="shared" si="0"/>
        <v>2796852.0335043855</v>
      </c>
      <c r="F103" s="152">
        <f t="shared" si="0"/>
        <v>2787066.5589324138</v>
      </c>
      <c r="G103" s="152">
        <f t="shared" si="0"/>
        <v>2777315.5877818582</v>
      </c>
      <c r="H103" s="152">
        <f t="shared" si="0"/>
        <v>2767598.9974542777</v>
      </c>
      <c r="I103" s="152">
        <f t="shared" si="0"/>
        <v>2757916.6657904703</v>
      </c>
      <c r="J103" s="152">
        <f t="shared" si="0"/>
        <v>2748268.4710685969</v>
      </c>
      <c r="K103" s="152">
        <f t="shared" si="0"/>
        <v>2738654.2920025247</v>
      </c>
      <c r="L103" s="152">
        <f t="shared" si="2"/>
        <v>2790291.1278888015</v>
      </c>
    </row>
    <row r="104" spans="1:12" x14ac:dyDescent="0.25">
      <c r="A104" s="162" t="s">
        <v>3872</v>
      </c>
      <c r="B104" s="163">
        <f>361-'اوراق بدون ریسک'!$AD$19</f>
        <v>140</v>
      </c>
      <c r="C104" s="164">
        <f t="shared" si="1"/>
        <v>2799912.6240974152</v>
      </c>
      <c r="D104" s="164">
        <f t="shared" si="1"/>
        <v>2789199.2226672242</v>
      </c>
      <c r="E104" s="164">
        <f t="shared" si="0"/>
        <v>2778527.105970128</v>
      </c>
      <c r="F104" s="164">
        <f t="shared" si="0"/>
        <v>2767896.1137889959</v>
      </c>
      <c r="G104" s="164">
        <f t="shared" si="0"/>
        <v>2757306.0865329737</v>
      </c>
      <c r="H104" s="164">
        <f t="shared" si="0"/>
        <v>2746756.8652344989</v>
      </c>
      <c r="I104" s="164">
        <f t="shared" si="0"/>
        <v>2736248.2915475271</v>
      </c>
      <c r="J104" s="164">
        <f t="shared" si="0"/>
        <v>2725780.2077447656</v>
      </c>
      <c r="K104" s="164">
        <f t="shared" si="0"/>
        <v>2715352.4567151591</v>
      </c>
      <c r="L104" s="149">
        <f t="shared" si="2"/>
        <v>2759512.8177179717</v>
      </c>
    </row>
    <row r="105" spans="1:12" x14ac:dyDescent="0.25">
      <c r="A105" s="156" t="s">
        <v>3873</v>
      </c>
      <c r="B105" s="93">
        <f>372-'اوراق بدون ریسک'!$AD$19</f>
        <v>151</v>
      </c>
      <c r="C105" s="157">
        <f t="shared" si="1"/>
        <v>2784768.9026256418</v>
      </c>
      <c r="D105" s="157">
        <f t="shared" si="1"/>
        <v>2773277.9613117366</v>
      </c>
      <c r="E105" s="157">
        <f t="shared" si="0"/>
        <v>2761834.748391862</v>
      </c>
      <c r="F105" s="157">
        <f t="shared" si="0"/>
        <v>2750439.0643241582</v>
      </c>
      <c r="G105" s="157">
        <f t="shared" si="0"/>
        <v>2739090.7104065949</v>
      </c>
      <c r="H105" s="157">
        <f t="shared" si="0"/>
        <v>2727789.4887728542</v>
      </c>
      <c r="I105" s="157">
        <f t="shared" si="0"/>
        <v>2716535.2023895173</v>
      </c>
      <c r="J105" s="157">
        <f t="shared" si="0"/>
        <v>2705327.6550521995</v>
      </c>
      <c r="K105" s="157">
        <f t="shared" si="0"/>
        <v>2694166.6513819485</v>
      </c>
      <c r="L105" s="152">
        <f t="shared" si="2"/>
        <v>2729074.0077403313</v>
      </c>
    </row>
    <row r="106" spans="1:12" x14ac:dyDescent="0.25">
      <c r="A106" s="150" t="s">
        <v>3874</v>
      </c>
      <c r="B106" s="151">
        <f>391-'اوراق بدون ریسک'!$AD$19</f>
        <v>170</v>
      </c>
      <c r="C106" s="152">
        <f t="shared" si="1"/>
        <v>2758804.2338146926</v>
      </c>
      <c r="D106" s="152">
        <f t="shared" si="1"/>
        <v>2745991.3641494727</v>
      </c>
      <c r="E106" s="152">
        <f t="shared" si="0"/>
        <v>2733238.3504238706</v>
      </c>
      <c r="F106" s="152">
        <f t="shared" si="0"/>
        <v>2720544.9113904503</v>
      </c>
      <c r="G106" s="152">
        <f t="shared" si="0"/>
        <v>2707910.7671311116</v>
      </c>
      <c r="H106" s="152">
        <f t="shared" si="0"/>
        <v>2695335.6390501405</v>
      </c>
      <c r="I106" s="152">
        <f t="shared" si="0"/>
        <v>2682819.2498687385</v>
      </c>
      <c r="J106" s="152">
        <f t="shared" si="0"/>
        <v>2670361.3236183855</v>
      </c>
      <c r="K106" s="152">
        <f t="shared" si="0"/>
        <v>2657961.5856345114</v>
      </c>
      <c r="L106" s="164">
        <f t="shared" si="2"/>
        <v>2704964.8819615473</v>
      </c>
    </row>
    <row r="107" spans="1:12" x14ac:dyDescent="0.25">
      <c r="A107" s="156" t="s">
        <v>3875</v>
      </c>
      <c r="B107" s="93">
        <f>407-'اوراق بدون ریسک'!$AD$19</f>
        <v>186</v>
      </c>
      <c r="C107" s="157">
        <f t="shared" si="1"/>
        <v>2737127.1123950975</v>
      </c>
      <c r="D107" s="157">
        <f t="shared" si="1"/>
        <v>2723221.5213883696</v>
      </c>
      <c r="E107" s="157">
        <f t="shared" si="1"/>
        <v>2709386.953662781</v>
      </c>
      <c r="F107" s="157">
        <f t="shared" si="1"/>
        <v>2695623.0445345957</v>
      </c>
      <c r="G107" s="157">
        <f t="shared" si="1"/>
        <v>2681929.4312027274</v>
      </c>
      <c r="H107" s="157">
        <f t="shared" si="1"/>
        <v>2668305.7527382872</v>
      </c>
      <c r="I107" s="157">
        <f t="shared" si="1"/>
        <v>2654751.6500757462</v>
      </c>
      <c r="J107" s="157">
        <f t="shared" si="1"/>
        <v>2641266.7660028632</v>
      </c>
      <c r="K107" s="157">
        <f t="shared" si="1"/>
        <v>2627850.7451509587</v>
      </c>
      <c r="L107" s="157">
        <f t="shared" si="2"/>
        <v>2683051.9968218384</v>
      </c>
    </row>
    <row r="108" spans="1:12" x14ac:dyDescent="0.25">
      <c r="A108" s="147" t="s">
        <v>3876</v>
      </c>
      <c r="B108" s="148">
        <f>573-'اوراق بدون ریسک'!$AD$19</f>
        <v>352</v>
      </c>
      <c r="C108" s="149">
        <f t="shared" si="1"/>
        <v>2522034.8006618973</v>
      </c>
      <c r="D108" s="149">
        <f t="shared" si="1"/>
        <v>2497841.8178030672</v>
      </c>
      <c r="E108" s="149">
        <f t="shared" si="1"/>
        <v>2473881.5625800774</v>
      </c>
      <c r="F108" s="149">
        <f t="shared" si="1"/>
        <v>2450151.7899574321</v>
      </c>
      <c r="G108" s="149">
        <f t="shared" si="1"/>
        <v>2426650.2766175647</v>
      </c>
      <c r="H108" s="149">
        <f t="shared" si="1"/>
        <v>2403374.8207489899</v>
      </c>
      <c r="I108" s="149">
        <f t="shared" si="1"/>
        <v>2380323.2418392012</v>
      </c>
      <c r="J108" s="149">
        <f t="shared" si="1"/>
        <v>2357493.3804673632</v>
      </c>
      <c r="K108" s="149">
        <f t="shared" si="1"/>
        <v>2334883.0980995465</v>
      </c>
      <c r="L108" s="152">
        <f t="shared" si="2"/>
        <v>2645619.7625503982</v>
      </c>
    </row>
    <row r="109" spans="1:12" x14ac:dyDescent="0.25">
      <c r="A109" s="156" t="s">
        <v>3877</v>
      </c>
      <c r="B109" s="93">
        <f>579-'اوراق بدون ریسک'!$AD$19</f>
        <v>358</v>
      </c>
      <c r="C109" s="157">
        <f t="shared" si="1"/>
        <v>2514585.205014769</v>
      </c>
      <c r="D109" s="157">
        <f t="shared" si="1"/>
        <v>2490054.5331942593</v>
      </c>
      <c r="E109" s="157">
        <f t="shared" si="1"/>
        <v>2465763.8286968451</v>
      </c>
      <c r="F109" s="157">
        <f t="shared" si="1"/>
        <v>2441710.7376064155</v>
      </c>
      <c r="G109" s="157">
        <f t="shared" si="1"/>
        <v>2417892.9291610164</v>
      </c>
      <c r="H109" s="157">
        <f t="shared" si="1"/>
        <v>2394308.0955233001</v>
      </c>
      <c r="I109" s="157">
        <f t="shared" si="1"/>
        <v>2370953.9515559445</v>
      </c>
      <c r="J109" s="157">
        <f t="shared" si="1"/>
        <v>2347828.2345970566</v>
      </c>
      <c r="K109" s="157">
        <f t="shared" si="1"/>
        <v>2324928.7042383221</v>
      </c>
      <c r="L109" s="157">
        <f t="shared" si="2"/>
        <v>2614503.233985452</v>
      </c>
    </row>
    <row r="110" spans="1:12" x14ac:dyDescent="0.25">
      <c r="A110" s="150" t="s">
        <v>3878</v>
      </c>
      <c r="B110" s="151">
        <f>753-'اوراق بدون ریسک'!$AD$19</f>
        <v>532</v>
      </c>
      <c r="C110" s="152">
        <f t="shared" si="1"/>
        <v>2307860.2431519325</v>
      </c>
      <c r="D110" s="152">
        <f t="shared" si="1"/>
        <v>2274483.1388543583</v>
      </c>
      <c r="E110" s="152">
        <f t="shared" si="1"/>
        <v>2241589.6404252439</v>
      </c>
      <c r="F110" s="152">
        <f t="shared" si="1"/>
        <v>2209172.7278712937</v>
      </c>
      <c r="G110" s="152">
        <f t="shared" si="1"/>
        <v>2177225.4832895049</v>
      </c>
      <c r="H110" s="152">
        <f t="shared" si="1"/>
        <v>2145741.0893781795</v>
      </c>
      <c r="I110" s="152">
        <f t="shared" si="1"/>
        <v>2114712.8279733048</v>
      </c>
      <c r="J110" s="152">
        <f t="shared" si="1"/>
        <v>2084134.078603284</v>
      </c>
      <c r="K110" s="152">
        <f t="shared" si="1"/>
        <v>2053998.3170654769</v>
      </c>
      <c r="L110" s="149">
        <f t="shared" si="2"/>
        <v>2312490.276886309</v>
      </c>
    </row>
    <row r="111" spans="1:12" x14ac:dyDescent="0.25">
      <c r="A111" s="162" t="s">
        <v>3879</v>
      </c>
      <c r="B111" s="163">
        <f>757-'اوراق بدون ریسک'!$AD$19</f>
        <v>536</v>
      </c>
      <c r="C111" s="164">
        <f t="shared" si="1"/>
        <v>2303313.3588430625</v>
      </c>
      <c r="D111" s="164">
        <f t="shared" si="1"/>
        <v>2269753.3855170808</v>
      </c>
      <c r="E111" s="164">
        <f t="shared" si="1"/>
        <v>2236683.2901094537</v>
      </c>
      <c r="F111" s="164">
        <f t="shared" si="1"/>
        <v>2204095.9087073677</v>
      </c>
      <c r="G111" s="164">
        <f t="shared" si="1"/>
        <v>2171984.1823544959</v>
      </c>
      <c r="H111" s="164">
        <f t="shared" si="1"/>
        <v>2140341.1555089047</v>
      </c>
      <c r="I111" s="164">
        <f t="shared" si="1"/>
        <v>2109159.9745273069</v>
      </c>
      <c r="J111" s="164">
        <f t="shared" si="1"/>
        <v>2078433.8861685607</v>
      </c>
      <c r="K111" s="164">
        <f t="shared" si="1"/>
        <v>2048156.236119906</v>
      </c>
      <c r="L111" s="157">
        <f t="shared" si="2"/>
        <v>2302253.1421057237</v>
      </c>
    </row>
    <row r="112" spans="1:12" x14ac:dyDescent="0.25">
      <c r="A112" s="147" t="s">
        <v>3880</v>
      </c>
      <c r="B112" s="148">
        <f>774-'اوراق بدون ریسک'!$AD$19</f>
        <v>553</v>
      </c>
      <c r="C112" s="149">
        <f t="shared" si="1"/>
        <v>2284088.8268152154</v>
      </c>
      <c r="D112" s="149">
        <f t="shared" si="1"/>
        <v>2249761.413679081</v>
      </c>
      <c r="E112" s="149">
        <f t="shared" si="1"/>
        <v>2215950.8237186158</v>
      </c>
      <c r="F112" s="149">
        <f t="shared" si="1"/>
        <v>2182649.2619667379</v>
      </c>
      <c r="G112" s="149">
        <f t="shared" si="1"/>
        <v>2149849.0512327659</v>
      </c>
      <c r="H112" s="149">
        <f t="shared" si="1"/>
        <v>2117542.6303181374</v>
      </c>
      <c r="I112" s="149">
        <f t="shared" si="1"/>
        <v>2085722.5522629018</v>
      </c>
      <c r="J112" s="149">
        <f t="shared" si="1"/>
        <v>2054381.4826157165</v>
      </c>
      <c r="K112" s="149">
        <f t="shared" si="1"/>
        <v>2023512.1977308064</v>
      </c>
      <c r="L112" s="152">
        <f t="shared" si="2"/>
        <v>2024299.1140240077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2018320.4675453471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1993107.5830912471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4265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4198</v>
      </c>
      <c r="M20" t="s">
        <v>4035</v>
      </c>
      <c r="N20" t="s">
        <v>4199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4264</v>
      </c>
      <c r="B191" s="38">
        <v>-5000</v>
      </c>
      <c r="C191" s="73" t="s">
        <v>4265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topLeftCell="H19" zoomScaleNormal="100" workbookViewId="0">
      <selection activeCell="O27" sqref="O2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-L82*12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-آبان97!D55</f>
        <v>51211358</v>
      </c>
      <c r="M19" s="171" t="s">
        <v>4354</v>
      </c>
      <c r="N19" s="113">
        <f>O19*P19</f>
        <v>11383978.6</v>
      </c>
      <c r="O19" s="99">
        <v>54889</v>
      </c>
      <c r="P19" s="99">
        <f>P37</f>
        <v>207.4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/>
      <c r="N20" s="113"/>
      <c r="O20" s="99"/>
      <c r="P20" s="99"/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L51</f>
        <v>293184560</v>
      </c>
      <c r="G21" s="29">
        <f t="shared" si="0"/>
        <v>-31184560</v>
      </c>
      <c r="H21" s="11" t="s">
        <v>4220</v>
      </c>
      <c r="J21" s="25"/>
      <c r="K21" s="171" t="s">
        <v>456</v>
      </c>
      <c r="L21" s="117">
        <v>150000</v>
      </c>
      <c r="M21" s="171" t="s">
        <v>4294</v>
      </c>
      <c r="N21" s="113">
        <f>O21*P21</f>
        <v>70215</v>
      </c>
      <c r="O21" s="99">
        <v>155</v>
      </c>
      <c r="P21" s="99">
        <f>P40</f>
        <v>453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200</v>
      </c>
      <c r="AK21" s="113">
        <f t="shared" ref="AK21:AK82" si="5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4352</v>
      </c>
      <c r="N22" s="113">
        <f>O22*P22</f>
        <v>16087800</v>
      </c>
      <c r="O22" s="69">
        <v>200</v>
      </c>
      <c r="P22" s="99">
        <f>P41</f>
        <v>80439</v>
      </c>
      <c r="Q22" s="96"/>
      <c r="R22" s="172">
        <v>4400000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199</v>
      </c>
      <c r="AK22" s="113">
        <f t="shared" si="5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4333</v>
      </c>
      <c r="N23" s="113">
        <f>O23*P23</f>
        <v>4311360</v>
      </c>
      <c r="O23" s="99">
        <v>23952</v>
      </c>
      <c r="P23" s="99">
        <f>P43</f>
        <v>180</v>
      </c>
      <c r="R23" s="115"/>
      <c r="S23" s="115" t="s">
        <v>25</v>
      </c>
      <c r="T23" s="115"/>
      <c r="U23" s="115"/>
      <c r="V23" s="171" t="s">
        <v>180</v>
      </c>
      <c r="W23" s="171" t="s">
        <v>4329</v>
      </c>
      <c r="X23" s="113" t="s">
        <v>4336</v>
      </c>
      <c r="Y23" s="113" t="s">
        <v>939</v>
      </c>
      <c r="Z23" s="56"/>
      <c r="AA23" s="56" t="s">
        <v>943</v>
      </c>
      <c r="AB23" s="56" t="s">
        <v>4338</v>
      </c>
      <c r="AC23" s="171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198</v>
      </c>
      <c r="AK23" s="113">
        <f t="shared" si="5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4353</v>
      </c>
      <c r="N24" s="113">
        <f>O24*P24</f>
        <v>-8043900</v>
      </c>
      <c r="O24" s="69">
        <v>-100</v>
      </c>
      <c r="P24" s="99">
        <f>P41</f>
        <v>80439</v>
      </c>
      <c r="R24" s="115"/>
      <c r="S24" s="115"/>
      <c r="T24" s="115"/>
      <c r="U24" s="115"/>
      <c r="V24" s="171" t="s">
        <v>4325</v>
      </c>
      <c r="W24" s="172">
        <v>42705000</v>
      </c>
      <c r="X24" s="171" t="s">
        <v>1088</v>
      </c>
      <c r="Y24" s="171">
        <v>10</v>
      </c>
      <c r="Z24" s="171"/>
      <c r="AA24" s="113">
        <f>R22</f>
        <v>4400000</v>
      </c>
      <c r="AB24" s="113">
        <f>Y24*AA24</f>
        <v>44000000</v>
      </c>
      <c r="AC24" s="171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197</v>
      </c>
      <c r="AK24" s="113">
        <f t="shared" si="5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4355</v>
      </c>
      <c r="N25" s="113">
        <v>-1336316</v>
      </c>
      <c r="O25" s="115"/>
      <c r="P25" s="115" t="s">
        <v>25</v>
      </c>
      <c r="R25" s="115"/>
      <c r="S25" s="115"/>
      <c r="T25" s="115"/>
      <c r="U25" s="115"/>
      <c r="V25" s="171" t="s">
        <v>4335</v>
      </c>
      <c r="W25" s="172">
        <v>-8646491</v>
      </c>
      <c r="X25" s="171" t="s">
        <v>966</v>
      </c>
      <c r="Y25" s="171">
        <v>-100</v>
      </c>
      <c r="Z25" s="171" t="s">
        <v>4337</v>
      </c>
      <c r="AA25" s="113">
        <f>P41</f>
        <v>80439</v>
      </c>
      <c r="AB25" s="113">
        <f t="shared" ref="AB25:AB28" si="6">Y25*AA25</f>
        <v>-8043900</v>
      </c>
      <c r="AC25" s="171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185</v>
      </c>
      <c r="AK25" s="113">
        <f t="shared" si="5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25</v>
      </c>
      <c r="L26" s="117"/>
      <c r="M26" s="171" t="s">
        <v>757</v>
      </c>
      <c r="N26" s="113">
        <v>3000000</v>
      </c>
      <c r="O26" s="22"/>
      <c r="S26" s="26" t="s">
        <v>25</v>
      </c>
      <c r="V26" s="56" t="s">
        <v>4335</v>
      </c>
      <c r="W26" s="172">
        <v>-4470930</v>
      </c>
      <c r="X26" s="56" t="s">
        <v>4333</v>
      </c>
      <c r="Y26" s="171">
        <v>-23952</v>
      </c>
      <c r="Z26" s="171" t="s">
        <v>4337</v>
      </c>
      <c r="AA26" s="113">
        <f>P43</f>
        <v>180</v>
      </c>
      <c r="AB26" s="113">
        <f t="shared" si="6"/>
        <v>-4311360</v>
      </c>
      <c r="AC26" s="171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179</v>
      </c>
      <c r="AK26" s="113">
        <f t="shared" si="5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919</v>
      </c>
      <c r="L27" s="117">
        <v>4800000</v>
      </c>
      <c r="M27" s="171" t="s">
        <v>4159</v>
      </c>
      <c r="N27" s="113">
        <f>-1*L19</f>
        <v>-51211358</v>
      </c>
      <c r="P27" t="s">
        <v>25</v>
      </c>
      <c r="V27" s="113" t="s">
        <v>4335</v>
      </c>
      <c r="W27" s="172">
        <v>-11344820</v>
      </c>
      <c r="X27" s="56" t="s">
        <v>4339</v>
      </c>
      <c r="Y27" s="56">
        <v>-80808</v>
      </c>
      <c r="Z27" s="56" t="s">
        <v>4343</v>
      </c>
      <c r="AA27" s="171">
        <f>P44</f>
        <v>139.69999999999999</v>
      </c>
      <c r="AB27" s="113">
        <f t="shared" si="6"/>
        <v>-11288877.6</v>
      </c>
      <c r="AC27" s="171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178</v>
      </c>
      <c r="AK27" s="113">
        <f t="shared" si="5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930</v>
      </c>
      <c r="L28" s="117">
        <v>0</v>
      </c>
      <c r="M28" s="171" t="s">
        <v>754</v>
      </c>
      <c r="N28" s="113">
        <v>500000</v>
      </c>
      <c r="P28" t="s">
        <v>25</v>
      </c>
      <c r="V28" s="113" t="s">
        <v>4335</v>
      </c>
      <c r="W28" s="172">
        <v>-18242759</v>
      </c>
      <c r="X28" s="56" t="s">
        <v>4333</v>
      </c>
      <c r="Y28" s="56">
        <v>-99504</v>
      </c>
      <c r="Z28" s="56" t="s">
        <v>4343</v>
      </c>
      <c r="AA28" s="171">
        <f>P43</f>
        <v>180</v>
      </c>
      <c r="AB28" s="113">
        <f t="shared" si="6"/>
        <v>-17910720</v>
      </c>
      <c r="AC28" s="171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177</v>
      </c>
      <c r="AK28" s="113">
        <f t="shared" si="5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1088</v>
      </c>
      <c r="L29" s="117">
        <f>65*R22</f>
        <v>286000000</v>
      </c>
      <c r="M29" s="171" t="s">
        <v>761</v>
      </c>
      <c r="N29" s="113">
        <v>1200000</v>
      </c>
      <c r="O29" t="s">
        <v>25</v>
      </c>
      <c r="V29" s="113"/>
      <c r="W29" s="56"/>
      <c r="X29" s="171"/>
      <c r="Y29" s="171"/>
      <c r="Z29" s="171"/>
      <c r="AA29" s="171"/>
      <c r="AB29" s="113">
        <v>-1200000</v>
      </c>
      <c r="AC29" s="171" t="s">
        <v>4344</v>
      </c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172</v>
      </c>
      <c r="AK29" s="113">
        <f t="shared" si="5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4157</v>
      </c>
      <c r="L30" s="117">
        <v>-50000000</v>
      </c>
      <c r="M30" s="73" t="s">
        <v>4327</v>
      </c>
      <c r="N30" s="113">
        <v>80361</v>
      </c>
      <c r="O30" s="22"/>
      <c r="P30" t="s">
        <v>25</v>
      </c>
      <c r="Q30" s="73"/>
      <c r="R30" s="112"/>
      <c r="S30" s="112"/>
      <c r="T30" s="112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171</v>
      </c>
      <c r="AK30" s="113">
        <f t="shared" si="5"/>
        <v>-29070000</v>
      </c>
      <c r="AL30" s="99"/>
      <c r="AN30" s="96"/>
      <c r="AO30" s="99" t="s">
        <v>1136</v>
      </c>
      <c r="AP30" s="99" t="s">
        <v>4256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/>
      <c r="L31" s="117"/>
      <c r="M31" s="171" t="s">
        <v>1088</v>
      </c>
      <c r="N31" s="113">
        <f>65*R22</f>
        <v>286000000</v>
      </c>
      <c r="P31" t="s">
        <v>25</v>
      </c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88"/>
      <c r="X31" s="188"/>
      <c r="Y31" s="188"/>
      <c r="Z31" s="188"/>
      <c r="AA31" s="188"/>
      <c r="AB31" s="42">
        <f>SUM(AB24:AB29)</f>
        <v>1245142.3999999985</v>
      </c>
      <c r="AC31" s="188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166</v>
      </c>
      <c r="AK31" s="113">
        <f t="shared" si="5"/>
        <v>-1045800000</v>
      </c>
      <c r="AL31" s="99"/>
      <c r="AN31" s="96"/>
      <c r="AO31" s="99">
        <v>1</v>
      </c>
      <c r="AP31" s="172" t="s">
        <v>4257</v>
      </c>
      <c r="AQ31" s="99">
        <v>18290</v>
      </c>
      <c r="AR31" s="99" t="s">
        <v>4182</v>
      </c>
      <c r="AS31" s="99" t="s">
        <v>4258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/>
      <c r="L32" s="117"/>
      <c r="M32" s="171" t="s">
        <v>4202</v>
      </c>
      <c r="N32" s="113">
        <v>-20000000</v>
      </c>
      <c r="Q32" s="172">
        <v>186823144</v>
      </c>
      <c r="R32" s="171" t="s">
        <v>4182</v>
      </c>
      <c r="S32" s="171">
        <v>32</v>
      </c>
      <c r="T32" s="171" t="s">
        <v>4341</v>
      </c>
      <c r="V32" s="41"/>
      <c r="W32" s="188"/>
      <c r="X32" s="188"/>
      <c r="Y32" s="188"/>
      <c r="Z32" s="188"/>
      <c r="AA32" s="188"/>
      <c r="AB32" s="188" t="s">
        <v>946</v>
      </c>
      <c r="AC32" s="188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165</v>
      </c>
      <c r="AK32" s="113">
        <f t="shared" si="5"/>
        <v>-8582475</v>
      </c>
      <c r="AL32" s="99"/>
      <c r="AN32" s="96"/>
      <c r="AO32" s="99">
        <v>2</v>
      </c>
      <c r="AP32" s="172" t="s">
        <v>4257</v>
      </c>
      <c r="AQ32" s="99">
        <v>24813</v>
      </c>
      <c r="AR32" s="99" t="s">
        <v>4254</v>
      </c>
      <c r="AS32" s="99" t="s">
        <v>4259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/>
      <c r="L33" s="117"/>
      <c r="M33" s="171" t="s">
        <v>4203</v>
      </c>
      <c r="N33" s="113">
        <v>-50000000</v>
      </c>
      <c r="O33" s="96"/>
      <c r="P33" s="96"/>
      <c r="Q33" s="172">
        <v>3759803</v>
      </c>
      <c r="R33" s="171" t="s">
        <v>4275</v>
      </c>
      <c r="S33" s="171">
        <f>S32-21</f>
        <v>11</v>
      </c>
      <c r="T33" s="171" t="s">
        <v>4284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149</v>
      </c>
      <c r="AK33" s="113">
        <f t="shared" si="5"/>
        <v>2982592600</v>
      </c>
      <c r="AL33" s="99"/>
      <c r="AN33" s="96"/>
      <c r="AO33" s="99">
        <v>3</v>
      </c>
      <c r="AP33" s="172" t="s">
        <v>4257</v>
      </c>
      <c r="AQ33" s="99">
        <v>26189</v>
      </c>
      <c r="AR33" s="99" t="s">
        <v>4275</v>
      </c>
      <c r="AS33" s="99" t="s">
        <v>4276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71" t="s">
        <v>3893</v>
      </c>
      <c r="N34" s="113">
        <v>198</v>
      </c>
      <c r="O34" s="99" t="s">
        <v>939</v>
      </c>
      <c r="P34" s="99" t="s">
        <v>3934</v>
      </c>
      <c r="Q34" s="172">
        <v>54501</v>
      </c>
      <c r="R34" s="171" t="s">
        <v>4293</v>
      </c>
      <c r="S34" s="171">
        <f>S33-4</f>
        <v>7</v>
      </c>
      <c r="T34" s="171" t="s">
        <v>4292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149</v>
      </c>
      <c r="AK34" s="113">
        <f t="shared" si="5"/>
        <v>151155434</v>
      </c>
      <c r="AL34" s="99"/>
      <c r="AN34" s="96"/>
      <c r="AO34" s="185"/>
      <c r="AP34" s="186" t="s">
        <v>4260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358188786.24271059</v>
      </c>
      <c r="F35" s="3"/>
      <c r="G35" s="11"/>
      <c r="H35" s="11"/>
      <c r="K35" s="99"/>
      <c r="L35" s="99"/>
      <c r="M35" s="171"/>
      <c r="N35" s="113"/>
      <c r="O35" s="99"/>
      <c r="P35" s="99"/>
      <c r="Q35" s="172">
        <v>11344820</v>
      </c>
      <c r="R35" s="171" t="s">
        <v>4335</v>
      </c>
      <c r="S35" s="171">
        <f>S34-6</f>
        <v>1</v>
      </c>
      <c r="T35" s="171" t="s">
        <v>4340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137</v>
      </c>
      <c r="AK35" s="113">
        <f t="shared" si="5"/>
        <v>49320000</v>
      </c>
      <c r="AL35" s="99"/>
      <c r="AN35" s="96"/>
      <c r="AO35" s="185"/>
      <c r="AP35" s="186" t="s">
        <v>4257</v>
      </c>
      <c r="AQ35" s="185">
        <v>19666</v>
      </c>
      <c r="AR35" s="185" t="s">
        <v>4275</v>
      </c>
      <c r="AS35" s="185" t="s">
        <v>4277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366196750.44670284</v>
      </c>
      <c r="F36" s="3"/>
      <c r="G36" s="11"/>
      <c r="H36" s="11"/>
      <c r="K36" s="56"/>
      <c r="L36" s="117"/>
      <c r="M36" s="32"/>
      <c r="N36" s="113"/>
      <c r="O36" s="99"/>
      <c r="P36" s="99"/>
      <c r="Q36" s="172">
        <v>20339135</v>
      </c>
      <c r="R36" s="171" t="s">
        <v>4349</v>
      </c>
      <c r="S36" s="171">
        <f>S35-1</f>
        <v>0</v>
      </c>
      <c r="T36" s="171" t="s">
        <v>4348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135</v>
      </c>
      <c r="AK36" s="113">
        <f t="shared" si="5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374373315.81956631</v>
      </c>
      <c r="F37" s="3"/>
      <c r="G37" s="11"/>
      <c r="H37" s="11"/>
      <c r="K37" s="56"/>
      <c r="L37" s="117"/>
      <c r="M37" s="171" t="s">
        <v>4189</v>
      </c>
      <c r="N37" s="113">
        <f t="shared" ref="N37:N44" si="10">O37*P37</f>
        <v>220983663</v>
      </c>
      <c r="O37" s="99">
        <v>1065495</v>
      </c>
      <c r="P37" s="99">
        <v>207.4</v>
      </c>
      <c r="Q37" s="172">
        <v>9788061</v>
      </c>
      <c r="R37" s="171" t="s">
        <v>4349</v>
      </c>
      <c r="S37" s="171">
        <f>S36</f>
        <v>0</v>
      </c>
      <c r="T37" s="171" t="s">
        <v>4350</v>
      </c>
      <c r="U37" s="96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135</v>
      </c>
      <c r="AK37" s="113">
        <f t="shared" si="5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382721938.80352634</v>
      </c>
      <c r="F38" s="3"/>
      <c r="G38" s="11"/>
      <c r="H38" s="11"/>
      <c r="K38" s="56"/>
      <c r="L38" s="117"/>
      <c r="M38" s="99" t="s">
        <v>4274</v>
      </c>
      <c r="N38" s="113">
        <f t="shared" si="10"/>
        <v>4078728.4</v>
      </c>
      <c r="O38" s="99">
        <v>19666</v>
      </c>
      <c r="P38" s="99">
        <f>P37</f>
        <v>207.4</v>
      </c>
      <c r="Q38" s="172"/>
      <c r="R38" s="171"/>
      <c r="S38" s="171"/>
      <c r="T38" s="171"/>
      <c r="U38" s="96" t="s">
        <v>25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134</v>
      </c>
      <c r="AK38" s="113">
        <f t="shared" si="5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391246145.81384128</v>
      </c>
      <c r="F39" s="3"/>
      <c r="G39" s="11"/>
      <c r="H39" s="11"/>
      <c r="K39" s="56"/>
      <c r="L39" s="117"/>
      <c r="M39" s="99"/>
      <c r="N39" s="113"/>
      <c r="O39" s="99"/>
      <c r="P39" s="99"/>
      <c r="Q39" s="113">
        <f>SUM(N35:N44)-SUM(Q32:Q37)</f>
        <v>26394420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130</v>
      </c>
      <c r="AK39" s="113">
        <f t="shared" si="5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399949534.64670491</v>
      </c>
      <c r="F40" s="3"/>
      <c r="G40" s="11"/>
      <c r="H40" s="11"/>
      <c r="K40" s="56"/>
      <c r="L40" s="117"/>
      <c r="M40" s="99" t="s">
        <v>4294</v>
      </c>
      <c r="N40" s="113">
        <f t="shared" si="10"/>
        <v>70215</v>
      </c>
      <c r="O40" s="187">
        <v>155</v>
      </c>
      <c r="P40" s="99">
        <v>453</v>
      </c>
      <c r="Q40" s="26"/>
      <c r="R40" s="188"/>
      <c r="S40" s="188"/>
      <c r="T40" t="s">
        <v>25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127</v>
      </c>
      <c r="AK40" s="113">
        <f t="shared" si="5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408835775.91539168</v>
      </c>
      <c r="F41" s="3"/>
      <c r="G41" s="11"/>
      <c r="H41" s="11"/>
      <c r="K41" s="56"/>
      <c r="L41" s="117"/>
      <c r="M41" s="99" t="s">
        <v>966</v>
      </c>
      <c r="N41" s="113">
        <f t="shared" si="10"/>
        <v>0</v>
      </c>
      <c r="O41" s="69">
        <v>0</v>
      </c>
      <c r="P41" s="69">
        <v>80439</v>
      </c>
      <c r="R41" t="s">
        <v>25</v>
      </c>
      <c r="T41" t="s">
        <v>25</v>
      </c>
      <c r="V41"/>
      <c r="AB41" t="s">
        <v>25</v>
      </c>
      <c r="AC41" t="s">
        <v>25</v>
      </c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123</v>
      </c>
      <c r="AK41" s="113">
        <f t="shared" si="5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417908614.51520973</v>
      </c>
      <c r="F42" s="3"/>
      <c r="G42" s="11"/>
      <c r="H42" s="11"/>
      <c r="K42" s="56"/>
      <c r="L42" s="117"/>
      <c r="M42" s="99"/>
      <c r="N42" s="113"/>
      <c r="O42" s="69"/>
      <c r="P42" s="69"/>
      <c r="Q42" t="s">
        <v>25</v>
      </c>
      <c r="R42" t="s">
        <v>25</v>
      </c>
      <c r="T42" t="s">
        <v>951</v>
      </c>
      <c r="U42">
        <v>6.3E-3</v>
      </c>
      <c r="V42"/>
      <c r="Z42" s="96"/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122</v>
      </c>
      <c r="AK42" s="113">
        <f t="shared" si="5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427171871.11783922</v>
      </c>
      <c r="F43" s="3"/>
      <c r="G43" s="11"/>
      <c r="H43" s="11"/>
      <c r="K43" s="99"/>
      <c r="L43" s="99"/>
      <c r="M43" s="99" t="s">
        <v>4333</v>
      </c>
      <c r="N43" s="113">
        <f t="shared" si="10"/>
        <v>22082400</v>
      </c>
      <c r="O43" s="69">
        <v>122680</v>
      </c>
      <c r="P43" s="69">
        <v>180</v>
      </c>
      <c r="Q43" t="s">
        <v>25</v>
      </c>
      <c r="S43" t="s">
        <v>25</v>
      </c>
      <c r="T43" t="s">
        <v>61</v>
      </c>
      <c r="U43">
        <v>4.8999999999999998E-3</v>
      </c>
      <c r="V43"/>
      <c r="Z43" s="96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122</v>
      </c>
      <c r="AK43" s="113">
        <f t="shared" si="5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436629443.69564456</v>
      </c>
      <c r="F44" s="3"/>
      <c r="G44" s="11"/>
      <c r="H44" s="11"/>
      <c r="K44" s="99"/>
      <c r="L44" s="99"/>
      <c r="M44" s="99" t="s">
        <v>4339</v>
      </c>
      <c r="N44" s="117">
        <f t="shared" si="10"/>
        <v>11288877.6</v>
      </c>
      <c r="O44" s="69">
        <v>80808</v>
      </c>
      <c r="P44" s="69">
        <v>139.69999999999999</v>
      </c>
      <c r="Q44" s="96">
        <f>O37+O38+O19-O49</f>
        <v>1047652</v>
      </c>
      <c r="R44" s="113">
        <f>Q44*P37</f>
        <v>217283024.80000001</v>
      </c>
      <c r="S44" t="s">
        <v>25</v>
      </c>
      <c r="T44" t="s">
        <v>6</v>
      </c>
      <c r="U44">
        <f>U42+U43</f>
        <v>1.12E-2</v>
      </c>
      <c r="V44"/>
      <c r="Z44" s="96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121</v>
      </c>
      <c r="AK44" s="113">
        <f t="shared" si="5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446285309.07656044</v>
      </c>
      <c r="F45" s="3"/>
      <c r="G45" s="11"/>
      <c r="H45" s="11"/>
      <c r="K45" s="99"/>
      <c r="L45" s="99"/>
      <c r="M45" s="73"/>
      <c r="N45" s="117"/>
      <c r="O45" s="96" t="s">
        <v>25</v>
      </c>
      <c r="Q45" t="s">
        <v>4290</v>
      </c>
      <c r="R45" t="s">
        <v>4287</v>
      </c>
      <c r="T45" t="s">
        <v>25</v>
      </c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120</v>
      </c>
      <c r="AK45" s="113">
        <f t="shared" si="5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456143524.53016472</v>
      </c>
      <c r="F46" s="3"/>
      <c r="G46" s="11"/>
      <c r="H46" s="11"/>
      <c r="K46" s="99"/>
      <c r="L46" s="99"/>
      <c r="M46" s="171" t="s">
        <v>1156</v>
      </c>
      <c r="N46" s="117">
        <v>14908</v>
      </c>
      <c r="O46" s="96" t="s">
        <v>25</v>
      </c>
      <c r="P46" t="s">
        <v>25</v>
      </c>
      <c r="R46" t="s">
        <v>25</v>
      </c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113</v>
      </c>
      <c r="AK46" s="113">
        <f t="shared" si="5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466208229.38556182</v>
      </c>
      <c r="F47" s="3"/>
      <c r="G47" s="11"/>
      <c r="H47" s="11"/>
      <c r="K47" s="99"/>
      <c r="L47" s="99"/>
      <c r="M47" s="171" t="s">
        <v>1157</v>
      </c>
      <c r="N47" s="117">
        <v>5282</v>
      </c>
      <c r="O47" s="96"/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107</v>
      </c>
      <c r="AK47" s="113">
        <f t="shared" si="5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476483646.68171477</v>
      </c>
      <c r="F48" s="3"/>
      <c r="G48" s="11"/>
      <c r="H48" s="11" t="s">
        <v>611</v>
      </c>
      <c r="K48" s="171"/>
      <c r="L48" s="117"/>
      <c r="M48" s="171"/>
      <c r="N48" s="113"/>
      <c r="O48" s="115"/>
      <c r="P48" s="115"/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106</v>
      </c>
      <c r="AK48" s="113">
        <f t="shared" si="5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486974084.8508752</v>
      </c>
      <c r="F49" s="3"/>
      <c r="G49" s="11"/>
      <c r="H49" s="11"/>
      <c r="K49" s="171" t="s">
        <v>25</v>
      </c>
      <c r="L49" s="117"/>
      <c r="M49" s="171" t="s">
        <v>4190</v>
      </c>
      <c r="N49" s="113">
        <f>-O49*P49</f>
        <v>-19163345.199999999</v>
      </c>
      <c r="O49" s="99">
        <v>92398</v>
      </c>
      <c r="P49" s="99">
        <f>P37</f>
        <v>207.4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106</v>
      </c>
      <c r="AK49" s="113">
        <f t="shared" si="5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497683939.43577409</v>
      </c>
      <c r="F50" s="51"/>
      <c r="G50" s="11"/>
      <c r="H50" s="11"/>
      <c r="K50" s="171"/>
      <c r="L50" s="117"/>
      <c r="M50" s="171"/>
      <c r="N50" s="113"/>
      <c r="O50" s="96"/>
      <c r="P50" s="96"/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103</v>
      </c>
      <c r="AK50" s="113">
        <f t="shared" si="5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508617694.84124976</v>
      </c>
      <c r="F51" s="3"/>
      <c r="G51" s="11"/>
      <c r="H51" s="11"/>
      <c r="K51" s="171" t="s">
        <v>598</v>
      </c>
      <c r="L51" s="113">
        <f>SUM(L16:L43)</f>
        <v>293184560</v>
      </c>
      <c r="M51" s="171"/>
      <c r="N51" s="113">
        <f>SUM(N16:N50)</f>
        <v>423492056.40000004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101</v>
      </c>
      <c r="AK51" s="113">
        <f t="shared" si="5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519779926.12100261</v>
      </c>
      <c r="F52" s="3"/>
      <c r="G52" s="11"/>
      <c r="H52" s="11"/>
      <c r="K52" s="171" t="s">
        <v>599</v>
      </c>
      <c r="L52" s="113">
        <f>L16+L17+L21</f>
        <v>173202</v>
      </c>
      <c r="M52" s="171"/>
      <c r="N52" s="113">
        <f>N16+N17+N28</f>
        <v>-7446706</v>
      </c>
      <c r="W52" s="99" t="s">
        <v>4257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4351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87</v>
      </c>
      <c r="AK52" s="113">
        <f t="shared" si="5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531175300.80017978</v>
      </c>
      <c r="F53" s="3"/>
      <c r="G53" s="11"/>
      <c r="H53" s="11"/>
      <c r="K53" s="56" t="s">
        <v>716</v>
      </c>
      <c r="L53" s="1">
        <f>L51+N7</f>
        <v>363184560</v>
      </c>
      <c r="M53" s="113"/>
      <c r="N53" s="171"/>
      <c r="O53" s="22"/>
      <c r="W53" s="99" t="s">
        <v>4257</v>
      </c>
      <c r="X53" s="99">
        <v>215</v>
      </c>
      <c r="Y53" s="99">
        <v>33931</v>
      </c>
      <c r="Z53" s="99" t="s">
        <v>1021</v>
      </c>
      <c r="AA53" s="99">
        <v>221.5</v>
      </c>
      <c r="AB53" s="99" t="s">
        <v>4351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86</v>
      </c>
      <c r="AK53" s="113">
        <f t="shared" si="5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542808580.73450804</v>
      </c>
      <c r="F54" s="3"/>
      <c r="G54" s="11"/>
      <c r="H54" s="11"/>
      <c r="M54" t="s">
        <v>4318</v>
      </c>
      <c r="W54" s="99" t="s">
        <v>4257</v>
      </c>
      <c r="X54" s="99">
        <v>213</v>
      </c>
      <c r="Y54" s="99">
        <v>40418</v>
      </c>
      <c r="Z54" s="99" t="s">
        <v>61</v>
      </c>
      <c r="AA54" s="99">
        <v>219.5</v>
      </c>
      <c r="AB54" s="99" t="s">
        <v>4351</v>
      </c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82</v>
      </c>
      <c r="AK54" s="113">
        <f t="shared" si="5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554684624.00670612</v>
      </c>
      <c r="F55" s="3"/>
      <c r="G55" s="11"/>
      <c r="H55" s="11"/>
      <c r="M55" s="25" t="s">
        <v>4118</v>
      </c>
      <c r="O55" t="s">
        <v>25</v>
      </c>
      <c r="W55" s="99" t="s">
        <v>4257</v>
      </c>
      <c r="X55" s="99">
        <v>205.5</v>
      </c>
      <c r="Y55" s="99">
        <v>6861</v>
      </c>
      <c r="Z55" s="99" t="s">
        <v>61</v>
      </c>
      <c r="AA55" s="99">
        <v>211.7</v>
      </c>
      <c r="AB55" s="99" t="s">
        <v>4351</v>
      </c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80</v>
      </c>
      <c r="AK55" s="173">
        <f t="shared" si="5"/>
        <v>-339360000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566808386.86092329</v>
      </c>
      <c r="F56" s="3"/>
      <c r="G56" s="11"/>
      <c r="H56" s="11"/>
      <c r="M56" s="25" t="s">
        <v>4086</v>
      </c>
      <c r="Q56" s="188"/>
      <c r="R56" s="188"/>
      <c r="S56" s="115"/>
      <c r="W56" s="99"/>
      <c r="X56" s="171"/>
      <c r="Y56" s="171"/>
      <c r="Z56" s="99"/>
      <c r="AA56" s="99"/>
      <c r="AB56" s="99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78</v>
      </c>
      <c r="AK56" s="113">
        <f t="shared" si="5"/>
        <v>319800000</v>
      </c>
      <c r="AL56" s="99"/>
    </row>
    <row r="57" spans="1:38" ht="30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579184925.67596567</v>
      </c>
      <c r="F57" s="3"/>
      <c r="G57" s="11"/>
      <c r="H57" s="11"/>
      <c r="M57" s="180" t="s">
        <v>4122</v>
      </c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78</v>
      </c>
      <c r="AK57" s="113">
        <f t="shared" si="5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591819398.97808707</v>
      </c>
      <c r="F58" s="3"/>
      <c r="G58" s="11"/>
      <c r="H58" s="11"/>
      <c r="K58" s="3"/>
      <c r="L58" s="11" t="s">
        <v>304</v>
      </c>
      <c r="M58" s="122"/>
      <c r="N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77</v>
      </c>
      <c r="AK58" s="113">
        <f t="shared" si="5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604717069.49413705</v>
      </c>
      <c r="F59" s="3"/>
      <c r="G59" s="11"/>
      <c r="H59" s="11"/>
      <c r="K59" s="1" t="s">
        <v>305</v>
      </c>
      <c r="L59" s="1">
        <v>70000</v>
      </c>
      <c r="M59" s="122" t="s">
        <v>4319</v>
      </c>
      <c r="N59" s="96" t="s">
        <v>25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62</v>
      </c>
      <c r="AK59" s="175">
        <f t="shared" si="5"/>
        <v>-239630000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617883306.24587286</v>
      </c>
      <c r="F60" s="3"/>
      <c r="G60" s="11"/>
      <c r="H60" s="11"/>
      <c r="K60" s="1" t="s">
        <v>321</v>
      </c>
      <c r="L60" s="1">
        <v>100000</v>
      </c>
      <c r="M60" s="122" t="s">
        <v>4320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56</v>
      </c>
      <c r="AK60" s="113">
        <f t="shared" si="5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631323586.68626177</v>
      </c>
      <c r="F61" s="3"/>
      <c r="G61" s="11"/>
      <c r="H61" s="11"/>
      <c r="K61" s="1" t="s">
        <v>306</v>
      </c>
      <c r="L61" s="1">
        <v>80000</v>
      </c>
      <c r="M61" s="122" t="s">
        <v>4321</v>
      </c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53</v>
      </c>
      <c r="AK61" s="113">
        <f t="shared" si="5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645043498.87861323</v>
      </c>
      <c r="F62" s="3"/>
      <c r="G62" s="11"/>
      <c r="H62" s="11"/>
      <c r="K62" s="31" t="s">
        <v>307</v>
      </c>
      <c r="L62" s="1">
        <v>150000</v>
      </c>
      <c r="M62" s="122" t="s">
        <v>4322</v>
      </c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52</v>
      </c>
      <c r="AK62" s="113">
        <f t="shared" si="5"/>
        <v>10400000</v>
      </c>
      <c r="AL62" s="20"/>
    </row>
    <row r="63" spans="1:38" x14ac:dyDescent="0.25">
      <c r="E63" s="26"/>
      <c r="K63" s="31" t="s">
        <v>308</v>
      </c>
      <c r="L63" s="1">
        <v>300000</v>
      </c>
      <c r="M63" s="193" t="s">
        <v>4323</v>
      </c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49</v>
      </c>
      <c r="AK63" s="113">
        <f t="shared" si="5"/>
        <v>49000000</v>
      </c>
      <c r="AL63" s="20"/>
    </row>
    <row r="64" spans="1:38" x14ac:dyDescent="0.25">
      <c r="E64" s="26"/>
      <c r="K64" s="31" t="s">
        <v>309</v>
      </c>
      <c r="L64" s="1">
        <v>100000</v>
      </c>
      <c r="M64" s="194" t="s">
        <v>4326</v>
      </c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46</v>
      </c>
      <c r="AK64" s="113">
        <f t="shared" si="5"/>
        <v>59800000</v>
      </c>
      <c r="AL64" s="20"/>
    </row>
    <row r="65" spans="1:38" x14ac:dyDescent="0.25">
      <c r="K65" s="31" t="s">
        <v>310</v>
      </c>
      <c r="L65" s="1">
        <v>200000</v>
      </c>
      <c r="M65" s="122" t="s">
        <v>4345</v>
      </c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1">AJ66+AI65</f>
        <v>46</v>
      </c>
      <c r="AK65" s="113">
        <f t="shared" si="5"/>
        <v>45770000</v>
      </c>
      <c r="AL65" s="20"/>
    </row>
    <row r="66" spans="1:38" x14ac:dyDescent="0.25">
      <c r="K66" s="18" t="s">
        <v>311</v>
      </c>
      <c r="L66" s="18">
        <v>300000</v>
      </c>
      <c r="M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1"/>
        <v>44</v>
      </c>
      <c r="AK66" s="113">
        <f t="shared" si="5"/>
        <v>572000000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312</v>
      </c>
      <c r="L67" s="1">
        <v>200000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1"/>
        <v>42</v>
      </c>
      <c r="AK67" s="113">
        <f t="shared" si="5"/>
        <v>-130200000</v>
      </c>
      <c r="AL67" s="20"/>
    </row>
    <row r="68" spans="1:38" x14ac:dyDescent="0.25">
      <c r="F68" t="s">
        <v>4109</v>
      </c>
      <c r="G68" t="s">
        <v>4104</v>
      </c>
      <c r="K68" s="32" t="s">
        <v>313</v>
      </c>
      <c r="L68" s="1">
        <v>20000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1"/>
        <v>39</v>
      </c>
      <c r="AK68" s="113">
        <f t="shared" si="5"/>
        <v>1779960000</v>
      </c>
      <c r="AL68" s="20"/>
    </row>
    <row r="69" spans="1:38" x14ac:dyDescent="0.25">
      <c r="F69" t="s">
        <v>4110</v>
      </c>
      <c r="G69" t="s">
        <v>4106</v>
      </c>
      <c r="K69" s="32" t="s">
        <v>315</v>
      </c>
      <c r="L69" s="1">
        <v>50000</v>
      </c>
      <c r="M69" s="96"/>
      <c r="N69" s="96"/>
      <c r="O69" s="96"/>
      <c r="P69" s="115"/>
      <c r="Q69" s="115"/>
      <c r="R69" s="115"/>
      <c r="S69" s="115"/>
      <c r="T69" s="115"/>
      <c r="W69" s="16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1"/>
        <v>38</v>
      </c>
      <c r="AK69" s="113">
        <f t="shared" si="5"/>
        <v>1273000000</v>
      </c>
      <c r="AL69" s="20"/>
    </row>
    <row r="70" spans="1:38" x14ac:dyDescent="0.25">
      <c r="G70" t="s">
        <v>4107</v>
      </c>
      <c r="K70" s="32" t="s">
        <v>316</v>
      </c>
      <c r="L70" s="1">
        <v>90000</v>
      </c>
      <c r="M70" s="96"/>
      <c r="N70" s="96"/>
      <c r="O70" s="96"/>
      <c r="P70" s="115"/>
      <c r="Q70" s="115"/>
      <c r="R70" s="115"/>
      <c r="S70" s="115"/>
      <c r="T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1"/>
        <v>37</v>
      </c>
      <c r="AK70" s="117">
        <f t="shared" si="5"/>
        <v>444000000</v>
      </c>
      <c r="AL70" s="20"/>
    </row>
    <row r="71" spans="1:38" x14ac:dyDescent="0.25">
      <c r="G71" t="s">
        <v>4108</v>
      </c>
      <c r="K71" s="32" t="s">
        <v>317</v>
      </c>
      <c r="L71" s="1">
        <v>50000</v>
      </c>
      <c r="M71" s="96"/>
      <c r="N71" s="96"/>
      <c r="O71" s="96"/>
      <c r="P71" s="115"/>
      <c r="Q71" s="55"/>
      <c r="R71" s="189"/>
      <c r="S71" s="115"/>
      <c r="T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1"/>
        <v>36</v>
      </c>
      <c r="AK71" s="117">
        <f t="shared" si="5"/>
        <v>558000000</v>
      </c>
      <c r="AL71" s="20"/>
    </row>
    <row r="72" spans="1:38" x14ac:dyDescent="0.25">
      <c r="G72" t="s">
        <v>4112</v>
      </c>
      <c r="K72" s="32" t="s">
        <v>327</v>
      </c>
      <c r="L72" s="1">
        <v>150000</v>
      </c>
      <c r="M72" s="96"/>
      <c r="N72" s="96"/>
      <c r="O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1"/>
        <v>32</v>
      </c>
      <c r="AK72" s="117">
        <f t="shared" si="5"/>
        <v>4800000</v>
      </c>
      <c r="AL72" s="20"/>
    </row>
    <row r="73" spans="1:38" x14ac:dyDescent="0.25">
      <c r="G73" t="s">
        <v>4111</v>
      </c>
      <c r="K73" s="32" t="s">
        <v>318</v>
      </c>
      <c r="L73" s="1">
        <v>15000</v>
      </c>
      <c r="N73" s="96"/>
      <c r="P73" s="115"/>
      <c r="Q73" s="26"/>
      <c r="R73" s="189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1"/>
        <v>31</v>
      </c>
      <c r="AK73" s="184">
        <f t="shared" si="5"/>
        <v>899000000</v>
      </c>
      <c r="AL73" s="183" t="s">
        <v>4197</v>
      </c>
    </row>
    <row r="74" spans="1:38" x14ac:dyDescent="0.25">
      <c r="K74" s="32" t="s">
        <v>319</v>
      </c>
      <c r="L74" s="1">
        <v>20000</v>
      </c>
      <c r="N74" s="96"/>
      <c r="P74" s="115"/>
      <c r="Q74" s="55"/>
      <c r="R74" s="189"/>
      <c r="S74" s="122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4223</v>
      </c>
      <c r="AH74" s="117">
        <v>-130000</v>
      </c>
      <c r="AI74" s="20">
        <v>7</v>
      </c>
      <c r="AJ74" s="99">
        <f t="shared" si="11"/>
        <v>16</v>
      </c>
      <c r="AK74" s="117">
        <f t="shared" si="5"/>
        <v>-2080000</v>
      </c>
      <c r="AL74" s="20" t="s">
        <v>4225</v>
      </c>
    </row>
    <row r="75" spans="1:38" x14ac:dyDescent="0.25">
      <c r="K75" s="32" t="s">
        <v>320</v>
      </c>
      <c r="L75" s="1">
        <v>40000</v>
      </c>
      <c r="N75" s="96"/>
      <c r="P75" s="115"/>
      <c r="Q75" s="55"/>
      <c r="R75" s="189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4279</v>
      </c>
      <c r="AH75" s="117">
        <v>232000</v>
      </c>
      <c r="AI75" s="20">
        <v>2</v>
      </c>
      <c r="AJ75" s="99">
        <f t="shared" si="11"/>
        <v>9</v>
      </c>
      <c r="AK75" s="117">
        <f>AH75*AJ75</f>
        <v>2088000</v>
      </c>
      <c r="AL75" s="20" t="s">
        <v>4281</v>
      </c>
    </row>
    <row r="76" spans="1:38" x14ac:dyDescent="0.25">
      <c r="K76" s="32" t="s">
        <v>322</v>
      </c>
      <c r="L76" s="1">
        <v>150000</v>
      </c>
      <c r="N76" s="96"/>
      <c r="P76" s="115"/>
      <c r="Q76" s="122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4293</v>
      </c>
      <c r="AH76" s="117">
        <v>-170000</v>
      </c>
      <c r="AI76" s="20">
        <v>3</v>
      </c>
      <c r="AJ76" s="99">
        <f t="shared" si="11"/>
        <v>7</v>
      </c>
      <c r="AK76" s="117">
        <f t="shared" si="5"/>
        <v>-1190000</v>
      </c>
      <c r="AL76" s="20"/>
    </row>
    <row r="77" spans="1:38" x14ac:dyDescent="0.25">
      <c r="K77" s="32" t="s">
        <v>324</v>
      </c>
      <c r="L77" s="1">
        <v>75000</v>
      </c>
      <c r="P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4308</v>
      </c>
      <c r="AH77" s="117">
        <v>-300000</v>
      </c>
      <c r="AI77" s="20">
        <v>3</v>
      </c>
      <c r="AJ77" s="99">
        <f t="shared" si="11"/>
        <v>4</v>
      </c>
      <c r="AK77" s="117">
        <f t="shared" si="5"/>
        <v>-1200000</v>
      </c>
      <c r="AL77" s="20"/>
    </row>
    <row r="78" spans="1:38" x14ac:dyDescent="0.25">
      <c r="K78" s="32" t="s">
        <v>314</v>
      </c>
      <c r="L78" s="1">
        <v>140000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4335</v>
      </c>
      <c r="AH78" s="117">
        <v>-11400000</v>
      </c>
      <c r="AI78" s="20">
        <v>1</v>
      </c>
      <c r="AJ78" s="99">
        <f t="shared" si="11"/>
        <v>1</v>
      </c>
      <c r="AK78" s="117">
        <f t="shared" si="5"/>
        <v>-11400000</v>
      </c>
      <c r="AL78" s="20"/>
    </row>
    <row r="79" spans="1:38" x14ac:dyDescent="0.25">
      <c r="K79" s="2" t="s">
        <v>478</v>
      </c>
      <c r="L79" s="3">
        <v>1083333</v>
      </c>
      <c r="P79" s="115"/>
      <c r="Q79" s="22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1"/>
        <v>0</v>
      </c>
      <c r="AK79" s="117">
        <f t="shared" si="5"/>
        <v>0</v>
      </c>
      <c r="AL79" s="20"/>
    </row>
    <row r="80" spans="1:38" x14ac:dyDescent="0.25">
      <c r="K80" s="2"/>
      <c r="L80" s="3"/>
      <c r="P80" s="128"/>
      <c r="X80" s="115"/>
      <c r="Y80" s="115"/>
      <c r="AC80" s="115"/>
      <c r="AD80" s="115"/>
      <c r="AF80" s="20"/>
      <c r="AG80" s="117"/>
      <c r="AH80" s="117"/>
      <c r="AI80" s="20"/>
      <c r="AJ80" s="99">
        <f t="shared" si="11"/>
        <v>0</v>
      </c>
      <c r="AK80" s="117">
        <f t="shared" si="5"/>
        <v>0</v>
      </c>
      <c r="AL80" s="20"/>
    </row>
    <row r="81" spans="11:50" x14ac:dyDescent="0.25">
      <c r="K81" s="2"/>
      <c r="L81" s="3"/>
      <c r="P81" s="128"/>
      <c r="X81" s="115"/>
      <c r="Y81" s="115"/>
      <c r="AC81" s="115"/>
      <c r="AD81" s="115"/>
      <c r="AF81" s="99"/>
      <c r="AG81" s="113"/>
      <c r="AH81" s="113"/>
      <c r="AI81" s="99"/>
      <c r="AJ81" s="99">
        <f t="shared" si="11"/>
        <v>0</v>
      </c>
      <c r="AK81" s="117">
        <f t="shared" si="5"/>
        <v>0</v>
      </c>
      <c r="AL81" s="99"/>
    </row>
    <row r="82" spans="11:50" x14ac:dyDescent="0.25">
      <c r="K82" s="2" t="s">
        <v>6</v>
      </c>
      <c r="L82" s="3">
        <f>SUM(L59:L80)</f>
        <v>3383333</v>
      </c>
      <c r="P82" s="115"/>
      <c r="AD82" s="115"/>
      <c r="AF82" s="99"/>
      <c r="AG82" s="113"/>
      <c r="AH82" s="113"/>
      <c r="AI82" s="99"/>
      <c r="AJ82" s="99">
        <f t="shared" si="11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K83" s="2" t="s">
        <v>328</v>
      </c>
      <c r="L83" s="3">
        <f>L82/30</f>
        <v>112777.76666666666</v>
      </c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O84" s="115"/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O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AF88" s="99"/>
      <c r="AG88" s="99" t="s">
        <v>4067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K89" s="48" t="s">
        <v>789</v>
      </c>
      <c r="L89" s="48" t="s">
        <v>476</v>
      </c>
      <c r="AG89" t="s">
        <v>4070</v>
      </c>
      <c r="AH89" s="114">
        <f>SUM(N37:N44)</f>
        <v>258503884</v>
      </c>
      <c r="AO89" t="s">
        <v>25</v>
      </c>
      <c r="AT89" t="s">
        <v>25</v>
      </c>
    </row>
    <row r="90" spans="11:50" x14ac:dyDescent="0.25">
      <c r="K90" s="47">
        <v>700000</v>
      </c>
      <c r="L90" s="48" t="s">
        <v>1041</v>
      </c>
      <c r="AG90" t="s">
        <v>4144</v>
      </c>
      <c r="AH90" s="114">
        <f>AH89-AH83</f>
        <v>47679985</v>
      </c>
    </row>
    <row r="91" spans="11:50" x14ac:dyDescent="0.25">
      <c r="K91" s="47">
        <v>500000</v>
      </c>
      <c r="L91" s="48" t="s">
        <v>479</v>
      </c>
      <c r="AG91" t="s">
        <v>945</v>
      </c>
      <c r="AH91" s="114">
        <f>AL83</f>
        <v>9258314.9258064516</v>
      </c>
      <c r="AR91" s="96" t="s">
        <v>25</v>
      </c>
    </row>
    <row r="92" spans="11:50" x14ac:dyDescent="0.25">
      <c r="K92" s="47">
        <v>180000</v>
      </c>
      <c r="L92" s="48" t="s">
        <v>558</v>
      </c>
      <c r="AG92" t="s">
        <v>4071</v>
      </c>
      <c r="AH92" s="114">
        <f>AH89-AH88</f>
        <v>38421670.074193537</v>
      </c>
    </row>
    <row r="93" spans="11:50" x14ac:dyDescent="0.25">
      <c r="K93" s="47">
        <v>0</v>
      </c>
      <c r="L93" s="48" t="s">
        <v>785</v>
      </c>
    </row>
    <row r="94" spans="11:50" x14ac:dyDescent="0.25">
      <c r="K94" s="47">
        <v>0</v>
      </c>
      <c r="L94" s="48" t="s">
        <v>786</v>
      </c>
    </row>
    <row r="95" spans="11:50" x14ac:dyDescent="0.25">
      <c r="K95" s="47">
        <v>500000</v>
      </c>
      <c r="L95" s="48" t="s">
        <v>787</v>
      </c>
    </row>
    <row r="96" spans="11:50" x14ac:dyDescent="0.25">
      <c r="K96" s="47">
        <v>75000</v>
      </c>
      <c r="L96" s="48" t="s">
        <v>788</v>
      </c>
    </row>
    <row r="97" spans="8:12" x14ac:dyDescent="0.25">
      <c r="K97" s="47">
        <v>0</v>
      </c>
      <c r="L97" s="48" t="s">
        <v>790</v>
      </c>
    </row>
    <row r="98" spans="8:12" x14ac:dyDescent="0.25">
      <c r="H98" s="96"/>
      <c r="K98" s="47">
        <v>500000</v>
      </c>
      <c r="L98" s="48" t="s">
        <v>564</v>
      </c>
    </row>
    <row r="99" spans="8:12" x14ac:dyDescent="0.25">
      <c r="K99" s="47">
        <v>50000</v>
      </c>
      <c r="L99" s="48" t="s">
        <v>793</v>
      </c>
    </row>
    <row r="100" spans="8:12" x14ac:dyDescent="0.25">
      <c r="K100" s="47">
        <v>140000</v>
      </c>
      <c r="L100" s="48" t="s">
        <v>314</v>
      </c>
    </row>
    <row r="101" spans="8:12" x14ac:dyDescent="0.25">
      <c r="K101" s="47"/>
      <c r="L101" s="48" t="s">
        <v>25</v>
      </c>
    </row>
    <row r="102" spans="8:12" x14ac:dyDescent="0.25">
      <c r="K102" s="47">
        <f>SUM(K90:K101)</f>
        <v>2645000</v>
      </c>
      <c r="L102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4298</v>
      </c>
      <c r="C1" s="99" t="s">
        <v>4299</v>
      </c>
      <c r="D1" s="99" t="s">
        <v>4300</v>
      </c>
      <c r="E1" s="99" t="s">
        <v>4301</v>
      </c>
      <c r="F1" s="74" t="s">
        <v>4302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4314</v>
      </c>
      <c r="V10" s="96" t="s">
        <v>4316</v>
      </c>
      <c r="W10" t="s">
        <v>4310</v>
      </c>
      <c r="X10" t="s">
        <v>4312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4313</v>
      </c>
      <c r="Q13" s="99" t="s">
        <v>4314</v>
      </c>
      <c r="R13" s="99" t="s">
        <v>4315</v>
      </c>
      <c r="S13" s="99" t="s">
        <v>4309</v>
      </c>
      <c r="T13" s="99" t="s">
        <v>4311</v>
      </c>
      <c r="U13" s="69" t="s">
        <v>4310</v>
      </c>
      <c r="V13" s="69" t="s">
        <v>4312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4303</v>
      </c>
      <c r="F27" s="99" t="s">
        <v>4304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2018-10-27T17:11:47Z</dcterms:modified>
</cp:coreProperties>
</file>