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L47" i="18" l="1"/>
  <c r="P247" i="52"/>
  <c r="O247" i="52"/>
  <c r="S52" i="18"/>
  <c r="L44" i="18"/>
  <c r="J239" i="52" l="1"/>
  <c r="J240" i="52"/>
  <c r="N240" i="52"/>
  <c r="O240" i="52"/>
  <c r="J241" i="52"/>
  <c r="N241" i="52"/>
  <c r="O241" i="52"/>
  <c r="J242" i="52"/>
  <c r="N242" i="52"/>
  <c r="O242" i="52"/>
  <c r="J243" i="52"/>
  <c r="N243" i="52"/>
  <c r="O243" i="52"/>
  <c r="J244" i="52"/>
  <c r="N244" i="52"/>
  <c r="O244" i="52"/>
  <c r="J245" i="52"/>
  <c r="N245" i="52"/>
  <c r="P245" i="52" s="1"/>
  <c r="O245" i="52"/>
  <c r="J246" i="52"/>
  <c r="N246" i="52"/>
  <c r="O246" i="52"/>
  <c r="J247" i="52"/>
  <c r="N247" i="52"/>
  <c r="J248" i="52"/>
  <c r="N248" i="52"/>
  <c r="O248" i="52"/>
  <c r="J249" i="52"/>
  <c r="N249" i="52"/>
  <c r="O249" i="52"/>
  <c r="J250" i="52"/>
  <c r="N250" i="52"/>
  <c r="O250" i="52"/>
  <c r="J251" i="52"/>
  <c r="N251" i="52"/>
  <c r="O251" i="52"/>
  <c r="J252" i="52"/>
  <c r="N252" i="52"/>
  <c r="O252" i="52"/>
  <c r="J253" i="52"/>
  <c r="N253" i="52"/>
  <c r="P253" i="52" s="1"/>
  <c r="O253" i="52"/>
  <c r="J254" i="52"/>
  <c r="N254" i="52"/>
  <c r="P254" i="52" s="1"/>
  <c r="O254" i="52"/>
  <c r="J255" i="52"/>
  <c r="N255" i="52"/>
  <c r="P255" i="52" s="1"/>
  <c r="O255" i="52"/>
  <c r="P252" i="52" l="1"/>
  <c r="P251" i="52"/>
  <c r="P249" i="52"/>
  <c r="P250" i="52"/>
  <c r="P248" i="52"/>
  <c r="P246" i="52"/>
  <c r="P244" i="52"/>
  <c r="P243" i="52"/>
  <c r="P242" i="52"/>
  <c r="P241" i="52"/>
  <c r="J238" i="52"/>
  <c r="J233" i="52" l="1"/>
  <c r="N230" i="52" l="1"/>
  <c r="O227" i="52" l="1"/>
  <c r="P195" i="18"/>
  <c r="W346" i="18"/>
  <c r="W345" i="18"/>
  <c r="W344" i="18"/>
  <c r="O223" i="52" l="1"/>
  <c r="W343" i="18"/>
  <c r="J222" i="52" l="1"/>
  <c r="W342" i="18"/>
  <c r="W341" i="18" l="1"/>
  <c r="W340" i="18"/>
  <c r="O220" i="52" l="1"/>
  <c r="W339" i="18" l="1"/>
  <c r="W338"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P238" i="52" s="1"/>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7" i="18"/>
  <c r="O212" i="52"/>
  <c r="P239" i="52" l="1"/>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6" i="18"/>
  <c r="F348" i="15" l="1"/>
  <c r="D347" i="15"/>
  <c r="I143" i="18"/>
  <c r="O210" i="52"/>
  <c r="W335" i="18"/>
  <c r="D346" i="15" l="1"/>
  <c r="F347" i="15"/>
  <c r="J210" i="52"/>
  <c r="D345" i="15" l="1"/>
  <c r="F346" i="15"/>
  <c r="J209" i="52"/>
  <c r="O208" i="52"/>
  <c r="J208" i="52"/>
  <c r="D344" i="15" l="1"/>
  <c r="F345" i="15"/>
  <c r="W334" i="18"/>
  <c r="F344" i="15" l="1"/>
  <c r="D343" i="15"/>
  <c r="O207" i="52"/>
  <c r="J207" i="52"/>
  <c r="W333" i="18"/>
  <c r="D342" i="15" l="1"/>
  <c r="F343" i="15"/>
  <c r="W332" i="18"/>
  <c r="D341" i="15" l="1"/>
  <c r="F342" i="15"/>
  <c r="W331" i="18"/>
  <c r="D340" i="15" l="1"/>
  <c r="F341" i="15"/>
  <c r="O204" i="52"/>
  <c r="F340" i="15" l="1"/>
  <c r="D339" i="15"/>
  <c r="J203" i="52"/>
  <c r="U348" i="18"/>
  <c r="W33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29" i="18"/>
  <c r="W328" i="18"/>
  <c r="W327" i="18"/>
  <c r="J202" i="52"/>
  <c r="D336" i="15" l="1"/>
  <c r="F337" i="15"/>
  <c r="W326" i="18"/>
  <c r="J201" i="52"/>
  <c r="W325" i="18"/>
  <c r="AB93" i="52"/>
  <c r="F336" i="15" l="1"/>
  <c r="D335" i="15"/>
  <c r="AC93" i="52"/>
  <c r="J200" i="52"/>
  <c r="D334" i="15" l="1"/>
  <c r="F335" i="15"/>
  <c r="W324" i="18"/>
  <c r="W323" i="18"/>
  <c r="AL216" i="18"/>
  <c r="AL215" i="18" s="1"/>
  <c r="AL214" i="18" l="1"/>
  <c r="AM215" i="18"/>
  <c r="F334" i="15"/>
  <c r="D333" i="15"/>
  <c r="AM216" i="18"/>
  <c r="W322"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1" i="18"/>
  <c r="AL210" i="18" l="1"/>
  <c r="AM211" i="18"/>
  <c r="F330" i="15"/>
  <c r="D329" i="15"/>
  <c r="AM210" i="18" l="1"/>
  <c r="AL209" i="18"/>
  <c r="D328" i="15"/>
  <c r="F329" i="15"/>
  <c r="W320" i="18"/>
  <c r="D108" i="58"/>
  <c r="AL208" i="18" l="1"/>
  <c r="AM209" i="18"/>
  <c r="D327" i="15"/>
  <c r="F328" i="15"/>
  <c r="W319" i="18"/>
  <c r="AB92" i="52"/>
  <c r="AB102" i="52" s="1"/>
  <c r="AB103" i="52" s="1"/>
  <c r="AM208" i="18" l="1"/>
  <c r="AL207" i="18"/>
  <c r="F327" i="15"/>
  <c r="D326" i="15"/>
  <c r="AC92" i="52"/>
  <c r="AM207" i="18" l="1"/>
  <c r="AL206" i="18"/>
  <c r="F326" i="15"/>
  <c r="D325" i="15"/>
  <c r="J195" i="52"/>
  <c r="O195" i="52"/>
  <c r="J194" i="52"/>
  <c r="W318" i="18"/>
  <c r="O13" i="18"/>
  <c r="AM206" i="18" l="1"/>
  <c r="AL205" i="18"/>
  <c r="F325" i="15"/>
  <c r="D324" i="15"/>
  <c r="N194" i="52"/>
  <c r="W317" i="18"/>
  <c r="W316" i="18"/>
  <c r="AB91" i="52"/>
  <c r="AM205" i="18" l="1"/>
  <c r="AL204" i="18"/>
  <c r="F324" i="15"/>
  <c r="D323" i="15"/>
  <c r="AC91" i="52"/>
  <c r="AB90" i="52"/>
  <c r="W315" i="18"/>
  <c r="AB89" i="52"/>
  <c r="AB101" i="52" s="1"/>
  <c r="AM204" i="18" l="1"/>
  <c r="AL203" i="18"/>
  <c r="F323" i="15"/>
  <c r="D322" i="15"/>
  <c r="AC89" i="52"/>
  <c r="AC90" i="52"/>
  <c r="R189" i="18"/>
  <c r="AM203" i="18" l="1"/>
  <c r="AL202" i="18"/>
  <c r="F322" i="15"/>
  <c r="D321" i="15"/>
  <c r="W314" i="18"/>
  <c r="AL201" i="18" l="1"/>
  <c r="AM202" i="18"/>
  <c r="F321" i="15"/>
  <c r="D320" i="15"/>
  <c r="G129" i="18"/>
  <c r="J129" i="18" s="1"/>
  <c r="G128" i="18"/>
  <c r="J128" i="18" s="1"/>
  <c r="W313" i="18"/>
  <c r="O190" i="52"/>
  <c r="J190" i="52"/>
  <c r="AM201" i="18" l="1"/>
  <c r="AL200" i="18"/>
  <c r="F320" i="15"/>
  <c r="D319" i="15"/>
  <c r="W312" i="18"/>
  <c r="AB88" i="52"/>
  <c r="AL199" i="18" l="1"/>
  <c r="AM200" i="18"/>
  <c r="F319" i="15"/>
  <c r="D318" i="15"/>
  <c r="AC88" i="52"/>
  <c r="N50" i="18"/>
  <c r="N48" i="18"/>
  <c r="AL198" i="18" l="1"/>
  <c r="AM199" i="18"/>
  <c r="F318" i="15"/>
  <c r="D317" i="15"/>
  <c r="O187" i="52"/>
  <c r="W311" i="18"/>
  <c r="AL197" i="18" l="1"/>
  <c r="AM198" i="18"/>
  <c r="F317" i="15"/>
  <c r="D316" i="15"/>
  <c r="J186" i="52"/>
  <c r="W310" i="18"/>
  <c r="W298" i="18"/>
  <c r="W297" i="18"/>
  <c r="AM197" i="18" l="1"/>
  <c r="AL196" i="18"/>
  <c r="F316" i="15"/>
  <c r="D315" i="15"/>
  <c r="J185" i="52"/>
  <c r="P29" i="18"/>
  <c r="N29" i="18" s="1"/>
  <c r="W309"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8" i="18"/>
  <c r="B8" i="36"/>
  <c r="AM192" i="18" l="1"/>
  <c r="AL191" i="18"/>
  <c r="AM191" i="18" s="1"/>
  <c r="F311" i="15"/>
  <c r="D310" i="15"/>
  <c r="O178" i="52"/>
  <c r="J178" i="52"/>
  <c r="F310" i="15" l="1"/>
  <c r="D309" i="15"/>
  <c r="N23" i="18"/>
  <c r="N46" i="18"/>
  <c r="W307" i="18"/>
  <c r="O177" i="52"/>
  <c r="J177" i="52"/>
  <c r="AB84" i="52"/>
  <c r="AC84" i="52" s="1"/>
  <c r="F309" i="15" l="1"/>
  <c r="D308" i="15"/>
  <c r="AB83" i="52"/>
  <c r="O176" i="52"/>
  <c r="J176" i="52"/>
  <c r="F308" i="15" l="1"/>
  <c r="D307" i="15"/>
  <c r="F307" i="15" s="1"/>
  <c r="AC83" i="52"/>
  <c r="AB82" i="52"/>
  <c r="AC82" i="52" l="1"/>
  <c r="J174" i="52"/>
  <c r="W306" i="18"/>
  <c r="AB81" i="52"/>
  <c r="AB80" i="52"/>
  <c r="AB100" i="52" l="1"/>
  <c r="AB99" i="52"/>
  <c r="AC80" i="52"/>
  <c r="AC81" i="52"/>
  <c r="J168" i="52"/>
  <c r="O168" i="52"/>
  <c r="W305" i="18"/>
  <c r="AL363" i="18" l="1"/>
  <c r="AL362" i="18" s="1"/>
  <c r="O167" i="52"/>
  <c r="W304" i="18"/>
  <c r="AL361" i="18" l="1"/>
  <c r="AM362" i="18"/>
  <c r="AM363" i="18"/>
  <c r="O166" i="52"/>
  <c r="W303" i="18"/>
  <c r="AM361" i="18" l="1"/>
  <c r="AL360" i="18"/>
  <c r="W302" i="18"/>
  <c r="O165" i="52"/>
  <c r="J165" i="52"/>
  <c r="P22" i="18"/>
  <c r="N22" i="18" s="1"/>
  <c r="AL359" i="18" l="1"/>
  <c r="AM360" i="18"/>
  <c r="C7" i="60"/>
  <c r="D3" i="60"/>
  <c r="D4" i="60"/>
  <c r="D5" i="60"/>
  <c r="D2" i="60"/>
  <c r="F2" i="60"/>
  <c r="AM359" i="18" l="1"/>
  <c r="AL358" i="18"/>
  <c r="O162" i="52"/>
  <c r="J162" i="52"/>
  <c r="W30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0" i="18"/>
  <c r="AB78" i="52"/>
  <c r="AC78" i="52" s="1"/>
  <c r="AL354" i="18" l="1"/>
  <c r="AM355" i="18"/>
  <c r="W299" i="18"/>
  <c r="AL353" i="18" l="1"/>
  <c r="AM354" i="18"/>
  <c r="AL190" i="18"/>
  <c r="AF76" i="52"/>
  <c r="AB77" i="52"/>
  <c r="AC77" i="52" s="1"/>
  <c r="AB76" i="52"/>
  <c r="AC76" i="52" s="1"/>
  <c r="AM353" i="18" l="1"/>
  <c r="AL352" i="18"/>
  <c r="AL189" i="18"/>
  <c r="AM190" i="18"/>
  <c r="N159" i="52"/>
  <c r="P160" i="52" s="1"/>
  <c r="W29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5" i="18"/>
  <c r="K109" i="18"/>
  <c r="W294" i="18"/>
  <c r="O150" i="52"/>
  <c r="AL347" i="18" l="1"/>
  <c r="AM348" i="18"/>
  <c r="AM185" i="18"/>
  <c r="AL184" i="18"/>
  <c r="AM347" i="18" l="1"/>
  <c r="AL346" i="18"/>
  <c r="AL183" i="18"/>
  <c r="AM184" i="18"/>
  <c r="AD59" i="52"/>
  <c r="Q146" i="52"/>
  <c r="J146" i="52"/>
  <c r="W29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2" i="18"/>
  <c r="AM344" i="18" l="1"/>
  <c r="AL343" i="18"/>
  <c r="AM181" i="18"/>
  <c r="AL180" i="18"/>
  <c r="G135" i="18"/>
  <c r="J135" i="18" s="1"/>
  <c r="J137" i="18" s="1"/>
  <c r="I137" i="18" s="1"/>
  <c r="G127" i="18"/>
  <c r="J127" i="18" s="1"/>
  <c r="W291" i="18"/>
  <c r="AL342" i="18" l="1"/>
  <c r="AM343" i="18"/>
  <c r="J131" i="18"/>
  <c r="I131" i="18" s="1"/>
  <c r="AM180" i="18"/>
  <c r="AL179" i="18"/>
  <c r="O142" i="52"/>
  <c r="J142" i="52"/>
  <c r="N44" i="18"/>
  <c r="W290" i="18"/>
  <c r="P25" i="18"/>
  <c r="AM342" i="18" l="1"/>
  <c r="AL341" i="18"/>
  <c r="AM179" i="18"/>
  <c r="AL178" i="18"/>
  <c r="AM178" i="18" s="1"/>
  <c r="P28" i="18"/>
  <c r="N28" i="18" s="1"/>
  <c r="O140" i="52"/>
  <c r="J140" i="52"/>
  <c r="W289" i="18"/>
  <c r="AM341" i="18" l="1"/>
  <c r="AL340" i="18"/>
  <c r="W288" i="18"/>
  <c r="W287" i="18"/>
  <c r="O139" i="52"/>
  <c r="J139" i="52"/>
  <c r="AB73" i="52"/>
  <c r="AL339" i="18" l="1"/>
  <c r="AM340" i="18"/>
  <c r="AD73" i="52"/>
  <c r="AC73" i="52"/>
  <c r="W28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5" i="18"/>
  <c r="AL333" i="18" l="1"/>
  <c r="AM334" i="18"/>
  <c r="O132" i="52"/>
  <c r="W284" i="18"/>
  <c r="AL332" i="18" l="1"/>
  <c r="AM333" i="18"/>
  <c r="O131" i="52"/>
  <c r="J3" i="60"/>
  <c r="J4" i="60"/>
  <c r="J5" i="60"/>
  <c r="J2" i="60"/>
  <c r="I9" i="60"/>
  <c r="I7" i="60"/>
  <c r="AL331" i="18" l="1"/>
  <c r="AM332" i="18"/>
  <c r="O130" i="52"/>
  <c r="O129" i="52"/>
  <c r="W283" i="18"/>
  <c r="S250" i="18"/>
  <c r="W282" i="18"/>
  <c r="AL330" i="18" l="1"/>
  <c r="AM331" i="18"/>
  <c r="N129" i="52"/>
  <c r="AM330" i="18" l="1"/>
  <c r="AL329" i="18"/>
  <c r="O127" i="52"/>
  <c r="AM329" i="18" l="1"/>
  <c r="AL328" i="18"/>
  <c r="J126" i="52"/>
  <c r="O126" i="52"/>
  <c r="W281" i="18"/>
  <c r="AL327" i="18" l="1"/>
  <c r="AM328" i="18"/>
  <c r="O125" i="52"/>
  <c r="J125" i="52"/>
  <c r="AM327" i="18" l="1"/>
  <c r="AL326" i="18"/>
  <c r="W28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8" i="18"/>
  <c r="AM323" i="18" l="1"/>
  <c r="AL322" i="18"/>
  <c r="AM322" i="18" l="1"/>
  <c r="AL321" i="18"/>
  <c r="O121" i="52"/>
  <c r="J121" i="52"/>
  <c r="W277" i="18"/>
  <c r="AM321" i="18" l="1"/>
  <c r="AL320" i="18"/>
  <c r="W276" i="18"/>
  <c r="J120" i="52"/>
  <c r="M104" i="18"/>
  <c r="AL319" i="18" l="1"/>
  <c r="AM320" i="18"/>
  <c r="AM319" i="18" l="1"/>
  <c r="AL318" i="18"/>
  <c r="O117" i="52"/>
  <c r="AM318" i="18" l="1"/>
  <c r="AL317" i="18"/>
  <c r="O116" i="52"/>
  <c r="N116" i="52"/>
  <c r="AM317" i="18" l="1"/>
  <c r="AL316" i="18"/>
  <c r="W27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4" i="18"/>
  <c r="J108" i="52"/>
  <c r="AL307" i="18" l="1"/>
  <c r="AM308" i="18"/>
  <c r="D303" i="15"/>
  <c r="F303" i="15" s="1"/>
  <c r="W273" i="18"/>
  <c r="W272"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0" i="18"/>
  <c r="J90" i="52"/>
  <c r="J95" i="52"/>
  <c r="W26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7" i="18"/>
  <c r="T364" i="18" s="1"/>
  <c r="W268" i="18"/>
  <c r="W267" i="18"/>
  <c r="W266" i="18"/>
  <c r="M48" i="52"/>
  <c r="M47" i="52"/>
  <c r="N38" i="52"/>
  <c r="N37" i="52"/>
  <c r="M49" i="52"/>
  <c r="N50" i="52" s="1"/>
  <c r="AL291" i="18" l="1"/>
  <c r="AM292" i="18"/>
  <c r="D287" i="15"/>
  <c r="F287" i="15" s="1"/>
  <c r="N49" i="52"/>
  <c r="W265" i="18"/>
  <c r="AM291" i="18" l="1"/>
  <c r="AL290" i="18"/>
  <c r="D286" i="15"/>
  <c r="F286" i="15" s="1"/>
  <c r="AL289" i="18" l="1"/>
  <c r="AM290" i="18"/>
  <c r="D285" i="15"/>
  <c r="F285" i="15" s="1"/>
  <c r="W264"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3" i="18"/>
  <c r="AL286" i="18" l="1"/>
  <c r="AM287" i="18"/>
  <c r="D282" i="15"/>
  <c r="F282" i="15" s="1"/>
  <c r="G32" i="57"/>
  <c r="H32" i="57"/>
  <c r="D32" i="57"/>
  <c r="I32" i="57" s="1"/>
  <c r="D345" i="20"/>
  <c r="W262" i="18"/>
  <c r="W261" i="18"/>
  <c r="AM286" i="18" l="1"/>
  <c r="AL285" i="18"/>
  <c r="D281" i="15"/>
  <c r="F281" i="15" s="1"/>
  <c r="W197" i="18"/>
  <c r="W19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0" i="18"/>
  <c r="D343" i="20"/>
  <c r="AL282" i="18" l="1"/>
  <c r="AM283" i="18"/>
  <c r="D278" i="15"/>
  <c r="F278" i="15" s="1"/>
  <c r="W259" i="18"/>
  <c r="D342" i="20"/>
  <c r="J83" i="52"/>
  <c r="O83" i="52"/>
  <c r="W258" i="18"/>
  <c r="W257" i="18"/>
  <c r="F44" i="14"/>
  <c r="F45" i="14"/>
  <c r="F46" i="14"/>
  <c r="F47" i="14"/>
  <c r="F48" i="14"/>
  <c r="F49" i="14"/>
  <c r="F50" i="14"/>
  <c r="D341" i="20"/>
  <c r="AM282" i="18" l="1"/>
  <c r="AL281" i="18"/>
  <c r="D277" i="15"/>
  <c r="F277" i="15" s="1"/>
  <c r="AJ364" i="18"/>
  <c r="AM281" i="18" l="1"/>
  <c r="AL280" i="18"/>
  <c r="AM280" i="18" s="1"/>
  <c r="D276" i="15"/>
  <c r="F276" i="15" s="1"/>
  <c r="W256" i="18"/>
  <c r="D340" i="20" l="1"/>
  <c r="W255" i="18"/>
  <c r="H337" i="20"/>
  <c r="H338" i="20"/>
  <c r="H339" i="20"/>
  <c r="H340" i="20"/>
  <c r="H341" i="20"/>
  <c r="H368" i="20"/>
  <c r="H369" i="20"/>
  <c r="D339" i="20"/>
  <c r="B371" i="20" l="1"/>
  <c r="D332" i="20"/>
  <c r="D333" i="20"/>
  <c r="D334" i="20"/>
  <c r="D335" i="20"/>
  <c r="D336" i="20"/>
  <c r="D337" i="20"/>
  <c r="D338" i="20"/>
  <c r="D369" i="20"/>
  <c r="W254" i="18" l="1"/>
  <c r="D80" i="57"/>
  <c r="AD46" i="52" l="1"/>
  <c r="AE46" i="52"/>
  <c r="G46" i="10"/>
  <c r="D331" i="20" l="1"/>
  <c r="D330" i="20" l="1"/>
  <c r="W253" i="18" l="1"/>
  <c r="W25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1" i="18" l="1"/>
  <c r="W250" i="18"/>
  <c r="Z40" i="52" l="1"/>
  <c r="Z39" i="52"/>
  <c r="Z38" i="52"/>
  <c r="AD38" i="52"/>
  <c r="AD39" i="52"/>
  <c r="AD40" i="52"/>
  <c r="AE40" i="52"/>
  <c r="AE39" i="52"/>
  <c r="AE38" i="52"/>
  <c r="R21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9" i="18"/>
  <c r="W248" i="18"/>
  <c r="L36" i="18"/>
  <c r="N36" i="52"/>
  <c r="N35" i="52"/>
  <c r="Q42" i="52"/>
  <c r="AD37" i="52"/>
  <c r="AD36" i="52"/>
  <c r="AD35" i="52"/>
  <c r="AD34" i="52"/>
  <c r="AD33" i="52"/>
  <c r="Z37" i="52"/>
  <c r="Z36" i="52"/>
  <c r="Z35" i="52"/>
  <c r="Z34" i="52"/>
  <c r="Z33" i="52"/>
  <c r="AE37" i="52"/>
  <c r="AE36" i="52"/>
  <c r="AE35" i="52"/>
  <c r="AE34" i="52"/>
  <c r="AE33" i="52"/>
  <c r="W247" i="18" l="1"/>
  <c r="W24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5" i="18" l="1"/>
  <c r="W244" i="18"/>
  <c r="AD31" i="52"/>
  <c r="AD30" i="52"/>
  <c r="Z31" i="52"/>
  <c r="Z30" i="52"/>
  <c r="AE31" i="52"/>
  <c r="AE30" i="52"/>
  <c r="AD29" i="52"/>
  <c r="Z29" i="52"/>
  <c r="AE29" i="52"/>
  <c r="AD28" i="52"/>
  <c r="Z28" i="52"/>
  <c r="AE28" i="52"/>
  <c r="N32" i="52"/>
  <c r="N31" i="52"/>
  <c r="W243" i="18" l="1"/>
  <c r="W242" i="18"/>
  <c r="N30" i="52"/>
  <c r="N29" i="52"/>
  <c r="AD27" i="52"/>
  <c r="Z27" i="52"/>
  <c r="AE27" i="52"/>
  <c r="W241" i="18" l="1"/>
  <c r="W240" i="18"/>
  <c r="N28" i="52"/>
  <c r="N27" i="52"/>
  <c r="AD26" i="52" l="1"/>
  <c r="AE26" i="52"/>
  <c r="AL279" i="18" l="1"/>
  <c r="D313" i="20"/>
  <c r="AL278" i="18" l="1"/>
  <c r="AM279" i="18"/>
  <c r="L110" i="18"/>
  <c r="L107" i="18" s="1"/>
  <c r="N107" i="18" s="1"/>
  <c r="L106" i="18" l="1"/>
  <c r="M110" i="18"/>
  <c r="AM278" i="18"/>
  <c r="AL277" i="18"/>
  <c r="L102" i="18"/>
  <c r="W239" i="18"/>
  <c r="W238"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7" i="18"/>
  <c r="W236" i="18"/>
  <c r="N23" i="52"/>
  <c r="N22" i="52"/>
  <c r="Z24" i="52"/>
  <c r="AD24" i="52"/>
  <c r="AE24" i="52"/>
  <c r="I368" i="20" l="1"/>
  <c r="G367" i="20"/>
  <c r="J368" i="20"/>
  <c r="K368" i="20"/>
  <c r="AL274" i="18"/>
  <c r="AM275" i="18"/>
  <c r="W235" i="18"/>
  <c r="W23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3" i="18"/>
  <c r="W23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1" i="18"/>
  <c r="W23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29" i="18"/>
  <c r="W228" i="18"/>
  <c r="D303" i="20"/>
  <c r="D302" i="20"/>
  <c r="W22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5" i="18"/>
  <c r="AL163" i="18" l="1"/>
  <c r="AM164" i="18"/>
  <c r="I350" i="20"/>
  <c r="J350" i="20"/>
  <c r="K350" i="20"/>
  <c r="G349" i="20"/>
  <c r="AD14" i="52"/>
  <c r="AE14" i="52"/>
  <c r="AD13" i="52"/>
  <c r="AE13" i="52"/>
  <c r="Z14" i="52"/>
  <c r="D296" i="20"/>
  <c r="D295" i="20"/>
  <c r="AM163" i="18" l="1"/>
  <c r="AL162" i="18"/>
  <c r="K349" i="20"/>
  <c r="I349" i="20"/>
  <c r="J349" i="20"/>
  <c r="G348" i="20"/>
  <c r="W224" i="18"/>
  <c r="W22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2" i="18"/>
  <c r="W221" i="18"/>
  <c r="AM161" i="18" l="1"/>
  <c r="AL160" i="18"/>
  <c r="G346" i="20"/>
  <c r="J347" i="20"/>
  <c r="I347" i="20"/>
  <c r="K347" i="20"/>
  <c r="D293" i="20"/>
  <c r="AL159" i="18" l="1"/>
  <c r="AM160" i="18"/>
  <c r="K346" i="20"/>
  <c r="G345" i="20"/>
  <c r="J346" i="20"/>
  <c r="I346" i="20"/>
  <c r="W220" i="18"/>
  <c r="AM159" i="18" l="1"/>
  <c r="AL158" i="18"/>
  <c r="K345" i="20"/>
  <c r="G344" i="20"/>
  <c r="J345" i="20"/>
  <c r="I345" i="20"/>
  <c r="D292" i="20"/>
  <c r="C8" i="36"/>
  <c r="W21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4" i="18"/>
  <c r="W217" i="18"/>
  <c r="D278" i="20"/>
  <c r="D269" i="15" l="1"/>
  <c r="F270" i="15"/>
  <c r="AL140" i="18"/>
  <c r="AM141" i="18"/>
  <c r="J327" i="20"/>
  <c r="K327" i="20"/>
  <c r="G326" i="20"/>
  <c r="I327" i="20"/>
  <c r="W195"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5" i="18"/>
  <c r="AM124" i="18" l="1"/>
  <c r="AL123" i="18"/>
  <c r="AM123" i="18" l="1"/>
  <c r="AL122" i="18"/>
  <c r="AL121" i="18" l="1"/>
  <c r="AM122" i="18"/>
  <c r="W209" i="18"/>
  <c r="W210" i="18"/>
  <c r="W211" i="18"/>
  <c r="W212" i="18"/>
  <c r="W213" i="18"/>
  <c r="W214" i="18"/>
  <c r="W226" i="18"/>
  <c r="W208" i="18"/>
  <c r="AM121" i="18" l="1"/>
  <c r="AL120" i="18"/>
  <c r="N49" i="18"/>
  <c r="AM120" i="18" l="1"/>
  <c r="AL119" i="18"/>
  <c r="AM119" i="18" l="1"/>
  <c r="AL118" i="18"/>
  <c r="T192" i="18"/>
  <c r="S82" i="18"/>
  <c r="S83" i="18" s="1"/>
  <c r="S84" i="18" s="1"/>
  <c r="R213" i="18"/>
  <c r="R211" i="18"/>
  <c r="D57" i="51"/>
  <c r="AL117" i="18" l="1"/>
  <c r="AM118" i="18"/>
  <c r="S85" i="18"/>
  <c r="S86" i="18" s="1"/>
  <c r="AM117" i="18" l="1"/>
  <c r="AL116" i="18"/>
  <c r="S87" i="18"/>
  <c r="S88" i="18" s="1"/>
  <c r="N31" i="18"/>
  <c r="Q114" i="18" l="1"/>
  <c r="R21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AL113" i="18"/>
  <c r="AM114" i="18"/>
  <c r="S20" i="18"/>
  <c r="S21" i="18" s="1"/>
  <c r="S91" i="18" l="1"/>
  <c r="AL112" i="18"/>
  <c r="AM113" i="18"/>
  <c r="N45" i="18"/>
  <c r="M105" i="18" l="1"/>
  <c r="N105" i="18" s="1"/>
  <c r="S92" i="18"/>
  <c r="S93" i="18" s="1"/>
  <c r="AM112" i="18"/>
  <c r="AL111" i="18"/>
  <c r="D108" i="50"/>
  <c r="S94" i="18" l="1"/>
  <c r="AL110" i="18"/>
  <c r="AM111" i="18"/>
  <c r="S95" i="18" l="1"/>
  <c r="S96" i="18" s="1"/>
  <c r="AL109" i="18"/>
  <c r="AM110" i="18"/>
  <c r="S97" i="18" l="1"/>
  <c r="S98" i="18" s="1"/>
  <c r="S99" i="18" s="1"/>
  <c r="S100" i="18" s="1"/>
  <c r="S101" i="18" s="1"/>
  <c r="S102" i="18" s="1"/>
  <c r="S103" i="18" s="1"/>
  <c r="S104" i="18" s="1"/>
  <c r="S105" i="18" s="1"/>
  <c r="N104" i="18"/>
  <c r="AL108" i="18"/>
  <c r="AM109" i="18"/>
  <c r="N22" i="33"/>
  <c r="R22" i="33" s="1"/>
  <c r="S106" i="18" l="1"/>
  <c r="S107" i="18" s="1"/>
  <c r="S108" i="18" s="1"/>
  <c r="S109" i="18" s="1"/>
  <c r="E22" i="33"/>
  <c r="AL107" i="18"/>
  <c r="AM108" i="18"/>
  <c r="C22" i="33"/>
  <c r="J22" i="33"/>
  <c r="F22" i="33"/>
  <c r="B22" i="33"/>
  <c r="I22" i="33"/>
  <c r="L22" i="33"/>
  <c r="H22" i="33"/>
  <c r="D22" i="33"/>
  <c r="K22" i="33"/>
  <c r="G22" i="33"/>
  <c r="S110" i="18" l="1"/>
  <c r="S111" i="18" s="1"/>
  <c r="S112"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7" i="18" l="1"/>
  <c r="R209" i="18"/>
  <c r="S40" i="18"/>
  <c r="S41" i="18" s="1"/>
  <c r="AJ368" i="18"/>
  <c r="AJ369" i="18" s="1"/>
  <c r="AM94" i="18"/>
  <c r="AL93" i="18"/>
  <c r="AL246" i="18"/>
  <c r="AM247" i="18"/>
  <c r="S42" i="18" l="1"/>
  <c r="AL92" i="18"/>
  <c r="AM93" i="18"/>
  <c r="AL245" i="18"/>
  <c r="AM246" i="18"/>
  <c r="S124" i="18"/>
  <c r="S125"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AM88" i="18"/>
  <c r="AL87" i="18"/>
  <c r="AL240" i="18"/>
  <c r="AM241" i="18"/>
  <c r="B10" i="36"/>
  <c r="AL86" i="18" l="1"/>
  <c r="AM87" i="18"/>
  <c r="AL239" i="18"/>
  <c r="AM240" i="18"/>
  <c r="S126" i="18"/>
  <c r="S127" i="18" s="1"/>
  <c r="S128" i="18" s="1"/>
  <c r="S53" i="18" l="1"/>
  <c r="S54" i="18" s="1"/>
  <c r="AL85" i="18"/>
  <c r="AM86" i="18"/>
  <c r="S129" i="18"/>
  <c r="S130"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1" i="18"/>
  <c r="S132" i="18" s="1"/>
  <c r="S13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4" i="18" l="1"/>
  <c r="AL77" i="18"/>
  <c r="AM78" i="18"/>
  <c r="G307" i="20" l="1"/>
  <c r="K308" i="20"/>
  <c r="J308" i="20"/>
  <c r="I308" i="20"/>
  <c r="S135" i="18"/>
  <c r="AL76" i="18"/>
  <c r="AM77" i="18"/>
  <c r="S136" i="18" l="1"/>
  <c r="S137" i="18" s="1"/>
  <c r="G306" i="20"/>
  <c r="J307" i="20"/>
  <c r="I307" i="20"/>
  <c r="K307" i="20"/>
  <c r="AL75" i="18"/>
  <c r="AM76" i="18"/>
  <c r="N47" i="18"/>
  <c r="Q184" i="18" s="1"/>
  <c r="R208" i="18" l="1"/>
  <c r="S138" i="18"/>
  <c r="S139" i="18" s="1"/>
  <c r="S140" i="18" s="1"/>
  <c r="M102" i="18"/>
  <c r="N102" i="18" s="1"/>
  <c r="N110" i="18" s="1"/>
  <c r="AJ223" i="18"/>
  <c r="AJ224" i="18" s="1"/>
  <c r="G305" i="20"/>
  <c r="I306" i="20"/>
  <c r="K306" i="20"/>
  <c r="J306" i="20"/>
  <c r="AL74" i="18"/>
  <c r="AM75" i="18"/>
  <c r="R221" i="18" l="1"/>
  <c r="T351" i="18" s="1"/>
  <c r="V354" i="18" s="1"/>
  <c r="G304" i="20"/>
  <c r="I305" i="20"/>
  <c r="K305" i="20"/>
  <c r="J305" i="20"/>
  <c r="AL73" i="18"/>
  <c r="AM74" i="18"/>
  <c r="R118" i="18"/>
  <c r="V75" i="18" l="1"/>
  <c r="W75" i="18" s="1"/>
  <c r="V73" i="18"/>
  <c r="W73" i="18" s="1"/>
  <c r="V74" i="18"/>
  <c r="V71" i="18"/>
  <c r="V72" i="18"/>
  <c r="V70" i="18"/>
  <c r="W70" i="18" s="1"/>
  <c r="V113" i="18"/>
  <c r="V112" i="18"/>
  <c r="V69" i="18"/>
  <c r="X69" i="18" s="1"/>
  <c r="V111" i="18"/>
  <c r="V68" i="18"/>
  <c r="W68" i="18" s="1"/>
  <c r="V183" i="18"/>
  <c r="V67" i="18"/>
  <c r="W67" i="18" s="1"/>
  <c r="V66" i="18"/>
  <c r="W66" i="18" s="1"/>
  <c r="V110" i="18"/>
  <c r="W110" i="18" s="1"/>
  <c r="U364" i="18"/>
  <c r="V364" i="18" s="1"/>
  <c r="V109" i="18"/>
  <c r="X109" i="18" s="1"/>
  <c r="V64" i="18"/>
  <c r="V65" i="18"/>
  <c r="V63" i="18"/>
  <c r="X63" i="18" s="1"/>
  <c r="V62" i="18"/>
  <c r="X62" i="18" s="1"/>
  <c r="V108" i="18"/>
  <c r="V107" i="18"/>
  <c r="X107" i="18" s="1"/>
  <c r="V61" i="18"/>
  <c r="X61" i="18" s="1"/>
  <c r="V106" i="18"/>
  <c r="V60" i="18"/>
  <c r="V76" i="18"/>
  <c r="V105" i="18"/>
  <c r="V58" i="18"/>
  <c r="W58" i="18" s="1"/>
  <c r="V59" i="18"/>
  <c r="V57" i="18"/>
  <c r="V56" i="18"/>
  <c r="V55" i="18"/>
  <c r="W55" i="18" s="1"/>
  <c r="V54" i="18"/>
  <c r="V104" i="18"/>
  <c r="W104" i="18" s="1"/>
  <c r="V102" i="18"/>
  <c r="W102" i="18" s="1"/>
  <c r="V103" i="18"/>
  <c r="V52" i="18"/>
  <c r="W52" i="18" s="1"/>
  <c r="V53" i="18"/>
  <c r="V51" i="18"/>
  <c r="V50" i="18"/>
  <c r="V49" i="18"/>
  <c r="V48" i="18"/>
  <c r="W48" i="18" s="1"/>
  <c r="V47" i="18"/>
  <c r="W47" i="18" s="1"/>
  <c r="V101" i="18"/>
  <c r="V100" i="18"/>
  <c r="V99" i="18"/>
  <c r="X99" i="18" s="1"/>
  <c r="V46" i="18"/>
  <c r="V98" i="18"/>
  <c r="W98" i="18" s="1"/>
  <c r="V45" i="18"/>
  <c r="V97" i="18"/>
  <c r="V44" i="18"/>
  <c r="W44" i="18" s="1"/>
  <c r="V96" i="18"/>
  <c r="V95" i="18"/>
  <c r="W95" i="18" s="1"/>
  <c r="V43" i="18"/>
  <c r="V42" i="18"/>
  <c r="X42" i="18" s="1"/>
  <c r="V94" i="18"/>
  <c r="S197" i="18"/>
  <c r="V40" i="18"/>
  <c r="W40" i="18" s="1"/>
  <c r="V41" i="18"/>
  <c r="V93" i="18"/>
  <c r="W93" i="18" s="1"/>
  <c r="V39" i="18"/>
  <c r="V122" i="18"/>
  <c r="V92" i="18"/>
  <c r="V91" i="18"/>
  <c r="V90" i="18"/>
  <c r="W90" i="18" s="1"/>
  <c r="V38" i="18"/>
  <c r="V37" i="18"/>
  <c r="V36" i="18"/>
  <c r="S141" i="18"/>
  <c r="V35" i="18"/>
  <c r="V34" i="18"/>
  <c r="W34" i="18" s="1"/>
  <c r="V89" i="18"/>
  <c r="V88" i="18"/>
  <c r="V33" i="18"/>
  <c r="V32" i="18"/>
  <c r="V31" i="18"/>
  <c r="V29" i="18"/>
  <c r="W29" i="18" s="1"/>
  <c r="V30" i="18"/>
  <c r="V28" i="18"/>
  <c r="X28" i="18" s="1"/>
  <c r="G303" i="20"/>
  <c r="K304" i="20"/>
  <c r="I304" i="20"/>
  <c r="J304" i="20"/>
  <c r="V27" i="18"/>
  <c r="W27" i="18" s="1"/>
  <c r="V139" i="18"/>
  <c r="V138" i="18"/>
  <c r="V26" i="18"/>
  <c r="W26" i="18" s="1"/>
  <c r="V87" i="18"/>
  <c r="V136" i="18"/>
  <c r="W136" i="18" s="1"/>
  <c r="V137" i="18"/>
  <c r="V134" i="18"/>
  <c r="W134" i="18" s="1"/>
  <c r="V135" i="18"/>
  <c r="V133" i="18"/>
  <c r="W133" i="18" s="1"/>
  <c r="V25" i="18"/>
  <c r="V24" i="18"/>
  <c r="W24" i="18" s="1"/>
  <c r="V86" i="18"/>
  <c r="V23" i="18"/>
  <c r="X23" i="18" s="1"/>
  <c r="V85" i="18"/>
  <c r="V84" i="18"/>
  <c r="V132" i="18"/>
  <c r="V83" i="18"/>
  <c r="V131" i="18"/>
  <c r="V22" i="18"/>
  <c r="V130" i="18"/>
  <c r="V21" i="18"/>
  <c r="V129" i="18"/>
  <c r="V128" i="18"/>
  <c r="V127" i="18"/>
  <c r="V125" i="18"/>
  <c r="V126" i="18"/>
  <c r="V20" i="18"/>
  <c r="V123" i="18"/>
  <c r="V124" i="18"/>
  <c r="AL72" i="18"/>
  <c r="AM73" i="18"/>
  <c r="X75" i="18" l="1"/>
  <c r="X73" i="18"/>
  <c r="W74" i="18"/>
  <c r="X74" i="18"/>
  <c r="W72" i="18"/>
  <c r="X72" i="18"/>
  <c r="W71" i="18"/>
  <c r="X71" i="18"/>
  <c r="W69" i="18"/>
  <c r="X70" i="18"/>
  <c r="W112" i="18"/>
  <c r="X112" i="18"/>
  <c r="X113" i="18"/>
  <c r="W113" i="18"/>
  <c r="W111" i="18"/>
  <c r="X111" i="18"/>
  <c r="X68" i="18"/>
  <c r="X183" i="18"/>
  <c r="W183" i="18"/>
  <c r="X67" i="18"/>
  <c r="X66" i="18"/>
  <c r="X110" i="18"/>
  <c r="W109" i="18"/>
  <c r="W63" i="18"/>
  <c r="W65" i="18"/>
  <c r="X65" i="18"/>
  <c r="X64" i="18"/>
  <c r="W64" i="18"/>
  <c r="W62" i="18"/>
  <c r="W108" i="18"/>
  <c r="X108" i="18"/>
  <c r="W107" i="18"/>
  <c r="W61" i="18"/>
  <c r="W106" i="18"/>
  <c r="X106" i="18"/>
  <c r="W76" i="18"/>
  <c r="X76" i="18"/>
  <c r="W60" i="18"/>
  <c r="X60" i="18"/>
  <c r="W105" i="18"/>
  <c r="X105" i="18"/>
  <c r="X58" i="18"/>
  <c r="W59" i="18"/>
  <c r="X59" i="18"/>
  <c r="W56" i="18"/>
  <c r="X56" i="18"/>
  <c r="W57" i="18"/>
  <c r="X57" i="18"/>
  <c r="X55" i="18"/>
  <c r="W54" i="18"/>
  <c r="X54" i="18"/>
  <c r="X104" i="18"/>
  <c r="X102" i="18"/>
  <c r="W103" i="18"/>
  <c r="X103" i="18"/>
  <c r="X52" i="18"/>
  <c r="W53" i="18"/>
  <c r="X53" i="18"/>
  <c r="W51" i="18"/>
  <c r="X51" i="18"/>
  <c r="W50" i="18"/>
  <c r="X50" i="18"/>
  <c r="W49" i="18"/>
  <c r="X49" i="18"/>
  <c r="U197" i="18"/>
  <c r="V197" i="18" s="1"/>
  <c r="X48" i="18"/>
  <c r="X47" i="18"/>
  <c r="W101" i="18"/>
  <c r="X101" i="18"/>
  <c r="W100" i="18"/>
  <c r="X100" i="18"/>
  <c r="W99" i="18"/>
  <c r="X46" i="18"/>
  <c r="W46" i="18"/>
  <c r="X98" i="18"/>
  <c r="X45" i="18"/>
  <c r="W45" i="18"/>
  <c r="W97" i="18"/>
  <c r="X97" i="18"/>
  <c r="X44" i="18"/>
  <c r="X96" i="18"/>
  <c r="W96" i="18"/>
  <c r="X95" i="18"/>
  <c r="X43" i="18"/>
  <c r="W43" i="18"/>
  <c r="W42" i="18"/>
  <c r="W94" i="18"/>
  <c r="X94" i="18"/>
  <c r="X40" i="18"/>
  <c r="W41" i="18"/>
  <c r="X41" i="18"/>
  <c r="X93" i="18"/>
  <c r="W39" i="18"/>
  <c r="X39" i="18"/>
  <c r="W92" i="18"/>
  <c r="X92" i="18"/>
  <c r="W91" i="18"/>
  <c r="X91" i="18"/>
  <c r="X90" i="18"/>
  <c r="W38" i="18"/>
  <c r="X38" i="18"/>
  <c r="W37" i="18"/>
  <c r="X37" i="18"/>
  <c r="X36" i="18"/>
  <c r="W36" i="18"/>
  <c r="V140" i="18"/>
  <c r="X140" i="18" s="1"/>
  <c r="W35" i="18"/>
  <c r="X35" i="18"/>
  <c r="X34" i="18"/>
  <c r="W89" i="18"/>
  <c r="X89" i="18"/>
  <c r="W88" i="18"/>
  <c r="X88" i="18"/>
  <c r="X33" i="18"/>
  <c r="W33" i="18"/>
  <c r="X32" i="18"/>
  <c r="W32" i="18"/>
  <c r="W31" i="18"/>
  <c r="X31" i="18"/>
  <c r="X29" i="18"/>
  <c r="W30" i="18"/>
  <c r="X30" i="18"/>
  <c r="W28" i="18"/>
  <c r="S196" i="18"/>
  <c r="R205" i="18" s="1"/>
  <c r="G302" i="20"/>
  <c r="K303" i="20"/>
  <c r="I303" i="20"/>
  <c r="J303" i="20"/>
  <c r="X27" i="18"/>
  <c r="X139" i="18"/>
  <c r="W139" i="18"/>
  <c r="W138" i="18"/>
  <c r="X138" i="18"/>
  <c r="X26" i="18"/>
  <c r="W87" i="18"/>
  <c r="X87" i="18"/>
  <c r="X136" i="18"/>
  <c r="W137" i="18"/>
  <c r="X137" i="18"/>
  <c r="X134" i="18"/>
  <c r="W135" i="18"/>
  <c r="X135" i="18"/>
  <c r="X133" i="18"/>
  <c r="W25" i="18"/>
  <c r="X25" i="18"/>
  <c r="X24" i="18"/>
  <c r="W86" i="18"/>
  <c r="X86" i="18"/>
  <c r="W23" i="18"/>
  <c r="W85" i="18"/>
  <c r="X85" i="18"/>
  <c r="W84" i="18"/>
  <c r="X84" i="18"/>
  <c r="S195" i="18"/>
  <c r="S194" i="18"/>
  <c r="R204" i="18" s="1"/>
  <c r="W132" i="18"/>
  <c r="X132" i="18"/>
  <c r="X83" i="18"/>
  <c r="W83" i="18"/>
  <c r="W130" i="18"/>
  <c r="X130" i="18"/>
  <c r="W124" i="18"/>
  <c r="X124" i="18"/>
  <c r="W128" i="18"/>
  <c r="X128" i="18"/>
  <c r="W22" i="18"/>
  <c r="X22" i="18"/>
  <c r="W20" i="18"/>
  <c r="X20" i="18"/>
  <c r="W126" i="18"/>
  <c r="X126" i="18"/>
  <c r="X131" i="18"/>
  <c r="W131" i="18"/>
  <c r="W123" i="18"/>
  <c r="X123" i="18"/>
  <c r="W122" i="18"/>
  <c r="X122" i="18"/>
  <c r="W127" i="18"/>
  <c r="X127" i="18"/>
  <c r="W125" i="18"/>
  <c r="X125" i="18"/>
  <c r="W129" i="18"/>
  <c r="X129" i="18"/>
  <c r="W21" i="18"/>
  <c r="X21" i="18"/>
  <c r="AL71" i="18"/>
  <c r="AM72" i="18"/>
  <c r="U194" i="18" l="1"/>
  <c r="W140" i="18"/>
  <c r="U196" i="18"/>
  <c r="V196" i="18" s="1"/>
  <c r="N34" i="18"/>
  <c r="L21" i="18" s="1"/>
  <c r="U195" i="18"/>
  <c r="V19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1" i="18" l="1"/>
  <c r="S142" i="18"/>
  <c r="G298" i="20"/>
  <c r="K299" i="20"/>
  <c r="I299" i="20"/>
  <c r="J299" i="20"/>
  <c r="AL67" i="18"/>
  <c r="AM68" i="18"/>
  <c r="I2" i="33"/>
  <c r="E2" i="33"/>
  <c r="J2" i="33"/>
  <c r="F2" i="33"/>
  <c r="K2" i="33"/>
  <c r="G2" i="33"/>
  <c r="D2" i="33"/>
  <c r="C2" i="33"/>
  <c r="H2" i="33"/>
  <c r="D73" i="45"/>
  <c r="V142" i="18" l="1"/>
  <c r="S143" i="18"/>
  <c r="S144" i="18" s="1"/>
  <c r="S145" i="18" s="1"/>
  <c r="W141" i="18"/>
  <c r="X141" i="18"/>
  <c r="G297" i="20"/>
  <c r="K298" i="20"/>
  <c r="I298" i="20"/>
  <c r="J298" i="20"/>
  <c r="AL66" i="18"/>
  <c r="AM67" i="18"/>
  <c r="F33" i="14"/>
  <c r="F34" i="14"/>
  <c r="F35" i="14"/>
  <c r="F36" i="14"/>
  <c r="F37" i="14"/>
  <c r="F38" i="14"/>
  <c r="F39" i="14"/>
  <c r="F40" i="14"/>
  <c r="F41" i="14"/>
  <c r="F42" i="14"/>
  <c r="F43" i="14"/>
  <c r="E62" i="14"/>
  <c r="E61" i="14" s="1"/>
  <c r="B63" i="14"/>
  <c r="V143" i="18" l="1"/>
  <c r="X142" i="18"/>
  <c r="W142" i="18"/>
  <c r="G61" i="14"/>
  <c r="E60" i="14"/>
  <c r="I297" i="20"/>
  <c r="K297" i="20"/>
  <c r="J297" i="20"/>
  <c r="G296" i="20"/>
  <c r="AL65" i="18"/>
  <c r="AM66" i="18"/>
  <c r="W143" i="18" l="1"/>
  <c r="X14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4" i="18"/>
  <c r="W144" i="18" s="1"/>
  <c r="J266" i="20"/>
  <c r="G265" i="20"/>
  <c r="K266" i="20"/>
  <c r="I266" i="20"/>
  <c r="AL34" i="18"/>
  <c r="AM35" i="18"/>
  <c r="E240" i="15"/>
  <c r="E239" i="15"/>
  <c r="X144" i="18" l="1"/>
  <c r="G29" i="14"/>
  <c r="E28" i="14"/>
  <c r="K265" i="20"/>
  <c r="G264" i="20"/>
  <c r="J265" i="20"/>
  <c r="I265" i="20"/>
  <c r="D259" i="15"/>
  <c r="F259" i="15" s="1"/>
  <c r="AL33" i="18"/>
  <c r="AM34" i="18"/>
  <c r="E27" i="14" l="1"/>
  <c r="G28" i="14"/>
  <c r="G263" i="20"/>
  <c r="K264" i="20"/>
  <c r="J264" i="20"/>
  <c r="I264" i="20"/>
  <c r="D258" i="15"/>
  <c r="F258" i="15" s="1"/>
  <c r="AL32" i="18"/>
  <c r="AM33" i="18"/>
  <c r="S146" i="18" l="1"/>
  <c r="S147" i="18" s="1"/>
  <c r="S148" i="18" s="1"/>
  <c r="S149" i="18" s="1"/>
  <c r="S150" i="18" s="1"/>
  <c r="E26" i="14"/>
  <c r="G27" i="14"/>
  <c r="I263" i="20"/>
  <c r="K263" i="20"/>
  <c r="G262" i="20"/>
  <c r="J263" i="20"/>
  <c r="D257" i="15"/>
  <c r="F257" i="15" s="1"/>
  <c r="AL31" i="18"/>
  <c r="AM32" i="18"/>
  <c r="K61" i="32"/>
  <c r="U61" i="32" s="1"/>
  <c r="K60" i="32"/>
  <c r="U60" i="32" s="1"/>
  <c r="K49" i="32"/>
  <c r="U49" i="32" s="1"/>
  <c r="K48" i="32"/>
  <c r="U48" i="32" s="1"/>
  <c r="K46" i="32"/>
  <c r="I60" i="32"/>
  <c r="I48" i="32"/>
  <c r="S70" i="32"/>
  <c r="V149" i="18" l="1"/>
  <c r="W149" i="18" s="1"/>
  <c r="V145" i="18"/>
  <c r="X145" i="18" s="1"/>
  <c r="E25" i="14"/>
  <c r="G26" i="14"/>
  <c r="G261" i="20"/>
  <c r="I262" i="20"/>
  <c r="J262" i="20"/>
  <c r="K262" i="20"/>
  <c r="D256" i="15"/>
  <c r="F256" i="15" s="1"/>
  <c r="AL30" i="18"/>
  <c r="AM31" i="18"/>
  <c r="L60" i="32"/>
  <c r="L48" i="32"/>
  <c r="X149" i="18" l="1"/>
  <c r="S151" i="18"/>
  <c r="W145" i="18"/>
  <c r="E24" i="14"/>
  <c r="G25" i="14"/>
  <c r="J261" i="20"/>
  <c r="I261" i="20"/>
  <c r="K261" i="20"/>
  <c r="G260" i="20"/>
  <c r="D255" i="15"/>
  <c r="F255" i="15" s="1"/>
  <c r="AL29" i="18"/>
  <c r="AM30" i="18"/>
  <c r="V150" i="18" l="1"/>
  <c r="X150"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0"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1" i="18" l="1"/>
  <c r="W151" i="18" s="1"/>
  <c r="S152" i="18"/>
  <c r="V146" i="18"/>
  <c r="W14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2" i="18" l="1"/>
  <c r="W152" i="18" s="1"/>
  <c r="S153" i="18"/>
  <c r="X151" i="18"/>
  <c r="X146"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3" i="18" l="1"/>
  <c r="W153" i="18" s="1"/>
  <c r="S154" i="18"/>
  <c r="X152" i="18"/>
  <c r="G255" i="20"/>
  <c r="I256" i="20"/>
  <c r="J256" i="20"/>
  <c r="K256" i="20"/>
  <c r="D250" i="15"/>
  <c r="F250" i="15" s="1"/>
  <c r="AL24" i="18"/>
  <c r="AM25" i="18"/>
  <c r="E178" i="13"/>
  <c r="G179" i="13"/>
  <c r="X153" i="18" l="1"/>
  <c r="V154" i="18"/>
  <c r="W154" i="18" s="1"/>
  <c r="S155" i="18"/>
  <c r="S156" i="18" s="1"/>
  <c r="V147" i="18"/>
  <c r="X147" i="18" s="1"/>
  <c r="G254" i="20"/>
  <c r="J255" i="20"/>
  <c r="I255" i="20"/>
  <c r="K255" i="20"/>
  <c r="D249" i="15"/>
  <c r="F249" i="15" s="1"/>
  <c r="AM24" i="18"/>
  <c r="AL23" i="18"/>
  <c r="E177" i="13"/>
  <c r="G178" i="13"/>
  <c r="V155" i="18" l="1"/>
  <c r="X155" i="18" s="1"/>
  <c r="X154" i="18"/>
  <c r="W147" i="18"/>
  <c r="K254" i="20"/>
  <c r="I254" i="20"/>
  <c r="G253" i="20"/>
  <c r="J254" i="20"/>
  <c r="D248" i="15"/>
  <c r="AM23" i="18"/>
  <c r="AL22" i="18"/>
  <c r="E176" i="13"/>
  <c r="G177" i="13"/>
  <c r="D165" i="20"/>
  <c r="W155" i="18" l="1"/>
  <c r="G252" i="20"/>
  <c r="J253" i="20"/>
  <c r="K253" i="20"/>
  <c r="I253" i="20"/>
  <c r="D247" i="15"/>
  <c r="F248" i="15"/>
  <c r="AL21" i="18"/>
  <c r="AL20" i="18" s="1"/>
  <c r="AM22" i="18"/>
  <c r="E175" i="13"/>
  <c r="G176" i="13"/>
  <c r="D164" i="20"/>
  <c r="V156" i="18" l="1"/>
  <c r="W156" i="18" s="1"/>
  <c r="S15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6" i="18"/>
  <c r="V157" i="18"/>
  <c r="W157" i="18" s="1"/>
  <c r="S158"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8" i="18" l="1"/>
  <c r="W158" i="18" s="1"/>
  <c r="S159" i="18"/>
  <c r="S160" i="18" s="1"/>
  <c r="S161" i="18" s="1"/>
  <c r="X157" i="18"/>
  <c r="X148" i="18"/>
  <c r="W148" i="18"/>
  <c r="U2123" i="41"/>
  <c r="V2123" i="41" s="1"/>
  <c r="X2123" i="41" s="1"/>
  <c r="G249" i="20"/>
  <c r="J250" i="20"/>
  <c r="K250" i="20"/>
  <c r="I250" i="20"/>
  <c r="F245" i="15"/>
  <c r="D244" i="15"/>
  <c r="AN217" i="18"/>
  <c r="AJ222" i="18" s="1"/>
  <c r="E172" i="13"/>
  <c r="G173" i="13"/>
  <c r="D62" i="38"/>
  <c r="V159" i="18" l="1"/>
  <c r="X159" i="18" s="1"/>
  <c r="X158" i="18"/>
  <c r="AJ226" i="18"/>
  <c r="J249" i="20"/>
  <c r="I249" i="20"/>
  <c r="K249" i="20"/>
  <c r="G248" i="20"/>
  <c r="F244" i="15"/>
  <c r="D243" i="15"/>
  <c r="AJ225" i="18"/>
  <c r="E171" i="13"/>
  <c r="G172" i="13"/>
  <c r="W15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0" i="18" l="1"/>
  <c r="W16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2" i="18" l="1"/>
  <c r="G235" i="20"/>
  <c r="J236" i="20"/>
  <c r="I236" i="20"/>
  <c r="K236" i="20"/>
  <c r="F231" i="15"/>
  <c r="D230" i="15"/>
  <c r="E158" i="13"/>
  <c r="G159" i="13"/>
  <c r="D154" i="20"/>
  <c r="D153" i="20"/>
  <c r="V161" i="18" l="1"/>
  <c r="X16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1" i="18" l="1"/>
  <c r="I234" i="20"/>
  <c r="K234" i="20"/>
  <c r="J234" i="20"/>
  <c r="G233" i="20"/>
  <c r="F229" i="15"/>
  <c r="D228" i="15"/>
  <c r="E156" i="13"/>
  <c r="G157" i="13"/>
  <c r="V162" i="18" l="1"/>
  <c r="X162" i="18" s="1"/>
  <c r="S16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3" i="18" l="1"/>
  <c r="W163" i="18" s="1"/>
  <c r="S164" i="18"/>
  <c r="W162" i="18"/>
  <c r="G231" i="20"/>
  <c r="I232" i="20"/>
  <c r="J232" i="20"/>
  <c r="K232" i="20"/>
  <c r="F227" i="15"/>
  <c r="D226" i="15"/>
  <c r="E154" i="13"/>
  <c r="G155" i="13"/>
  <c r="I46" i="32"/>
  <c r="V164" i="18" l="1"/>
  <c r="W164" i="18" s="1"/>
  <c r="S165" i="18"/>
  <c r="S166" i="18" s="1"/>
  <c r="S167" i="18" s="1"/>
  <c r="X16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4" i="18" l="1"/>
  <c r="V165" i="18"/>
  <c r="W165"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5" i="18" l="1"/>
  <c r="G228" i="20"/>
  <c r="J229" i="20"/>
  <c r="K229" i="20"/>
  <c r="I229" i="20"/>
  <c r="E151" i="13"/>
  <c r="G152" i="13"/>
  <c r="K228" i="20" l="1"/>
  <c r="G227" i="20"/>
  <c r="I228" i="20"/>
  <c r="J228" i="20"/>
  <c r="E150" i="13"/>
  <c r="G151" i="13"/>
  <c r="V166" i="18" l="1"/>
  <c r="W166" i="18" s="1"/>
  <c r="J227" i="20"/>
  <c r="G226" i="20"/>
  <c r="I227" i="20"/>
  <c r="K227" i="20"/>
  <c r="E149" i="13"/>
  <c r="G150" i="13"/>
  <c r="Z32" i="32"/>
  <c r="M45" i="32"/>
  <c r="R45" i="32" s="1"/>
  <c r="X166"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8"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7" i="18" l="1"/>
  <c r="I220" i="20"/>
  <c r="K220" i="20"/>
  <c r="G219" i="20"/>
  <c r="J220" i="20"/>
  <c r="E142" i="13"/>
  <c r="G143" i="13"/>
  <c r="S169" i="18" l="1"/>
  <c r="S170" i="18" s="1"/>
  <c r="W167" i="18"/>
  <c r="X167" i="18"/>
  <c r="I219" i="20"/>
  <c r="J219" i="20"/>
  <c r="G218" i="20"/>
  <c r="K219" i="20"/>
  <c r="E141" i="13"/>
  <c r="G142" i="13"/>
  <c r="V168" i="18" l="1"/>
  <c r="K218" i="20"/>
  <c r="G217" i="20"/>
  <c r="I218" i="20"/>
  <c r="J218" i="20"/>
  <c r="E140" i="13"/>
  <c r="G141" i="13"/>
  <c r="W168" i="18" l="1"/>
  <c r="X168" i="18"/>
  <c r="K217" i="20"/>
  <c r="J217" i="20"/>
  <c r="I217" i="20"/>
  <c r="G216" i="20"/>
  <c r="E139" i="13"/>
  <c r="G140" i="13"/>
  <c r="N34" i="33"/>
  <c r="V169" i="18" l="1"/>
  <c r="K216" i="20"/>
  <c r="I216" i="20"/>
  <c r="G215" i="20"/>
  <c r="J216" i="20"/>
  <c r="B34" i="33"/>
  <c r="J34" i="33"/>
  <c r="F34" i="33"/>
  <c r="K34" i="33"/>
  <c r="G34" i="33"/>
  <c r="H34" i="33"/>
  <c r="D34" i="33"/>
  <c r="C34" i="33"/>
  <c r="I34" i="33"/>
  <c r="E34" i="33"/>
  <c r="E138" i="13"/>
  <c r="G139" i="13"/>
  <c r="K43" i="32"/>
  <c r="U43" i="32" s="1"/>
  <c r="M43" i="32"/>
  <c r="V170" i="18" l="1"/>
  <c r="X170" i="18" s="1"/>
  <c r="S171" i="18"/>
  <c r="W169" i="18"/>
  <c r="X169" i="18"/>
  <c r="R43" i="32"/>
  <c r="S43" i="32"/>
  <c r="K215" i="20"/>
  <c r="I215" i="20"/>
  <c r="J215" i="20"/>
  <c r="G214" i="20"/>
  <c r="E137" i="13"/>
  <c r="G138" i="13"/>
  <c r="Q43" i="32"/>
  <c r="W170" i="18" l="1"/>
  <c r="V171" i="18"/>
  <c r="W171" i="18" s="1"/>
  <c r="S172" i="18"/>
  <c r="I214" i="20"/>
  <c r="J214" i="20"/>
  <c r="G213" i="20"/>
  <c r="K214" i="20"/>
  <c r="E136" i="13"/>
  <c r="G137" i="13"/>
  <c r="I42" i="32"/>
  <c r="K41" i="32"/>
  <c r="M41" i="32"/>
  <c r="S41" i="32" s="1"/>
  <c r="M29" i="32"/>
  <c r="K29" i="32"/>
  <c r="X171" i="18" l="1"/>
  <c r="S173" i="18"/>
  <c r="S174" i="18" s="1"/>
  <c r="S175" i="18" s="1"/>
  <c r="V172" i="18"/>
  <c r="R29" i="32"/>
  <c r="S29" i="32"/>
  <c r="K213" i="20"/>
  <c r="J213" i="20"/>
  <c r="I213" i="20"/>
  <c r="G212" i="20"/>
  <c r="E135" i="13"/>
  <c r="G136" i="13"/>
  <c r="Q29" i="32"/>
  <c r="W172" i="18" l="1"/>
  <c r="X172" i="18"/>
  <c r="V173" i="18"/>
  <c r="I212" i="20"/>
  <c r="K212" i="20"/>
  <c r="G211" i="20"/>
  <c r="J212" i="20"/>
  <c r="E134" i="13"/>
  <c r="G135" i="13"/>
  <c r="U29" i="32"/>
  <c r="U62" i="32"/>
  <c r="U63" i="32"/>
  <c r="U64" i="32"/>
  <c r="U65" i="32"/>
  <c r="U66" i="32"/>
  <c r="U67" i="32"/>
  <c r="U68" i="32"/>
  <c r="AC28" i="33"/>
  <c r="W173" i="18" l="1"/>
  <c r="X173"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4" i="18" l="1"/>
  <c r="W174"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4"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6"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7" i="18" l="1"/>
  <c r="V175" i="18"/>
  <c r="R70" i="32"/>
  <c r="AC15" i="32" s="1"/>
  <c r="AC16" i="32" s="1"/>
  <c r="J204" i="20"/>
  <c r="G203" i="20"/>
  <c r="K204" i="20"/>
  <c r="I204" i="20"/>
  <c r="E126" i="13"/>
  <c r="G127" i="13"/>
  <c r="K28" i="32"/>
  <c r="V176" i="18" l="1"/>
  <c r="X176" i="18" s="1"/>
  <c r="W175" i="18"/>
  <c r="X175"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6"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7" i="18" l="1"/>
  <c r="W177" i="18" s="1"/>
  <c r="S178"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7" i="18" l="1"/>
  <c r="V178" i="18"/>
  <c r="W178" i="18" s="1"/>
  <c r="S179" i="18"/>
  <c r="S180"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1" i="18" l="1"/>
  <c r="V180" i="18"/>
  <c r="X178" i="18"/>
  <c r="V179" i="18"/>
  <c r="G196" i="13"/>
  <c r="G199" i="13" s="1"/>
  <c r="J199" i="20"/>
  <c r="G198" i="20"/>
  <c r="K199" i="20"/>
  <c r="I199" i="20"/>
  <c r="G102" i="13"/>
  <c r="G103" i="13"/>
  <c r="U14" i="32"/>
  <c r="L14" i="32" s="1"/>
  <c r="Q9" i="32"/>
  <c r="R9" i="32"/>
  <c r="Y5" i="33"/>
  <c r="X180" i="18" l="1"/>
  <c r="W180" i="18"/>
  <c r="S182" i="18"/>
  <c r="V182" i="18" s="1"/>
  <c r="V181" i="18"/>
  <c r="W179" i="18"/>
  <c r="X179"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1" i="18" l="1"/>
  <c r="X181" i="18"/>
  <c r="W182" i="18"/>
  <c r="X182"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<sst xmlns="http://schemas.openxmlformats.org/spreadsheetml/2006/main" count="12917" uniqueCount="5425">
  <si>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</si>
  <si>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</si>
  <si>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</si>
  <si>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</si>
  <si>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</si>
  <si>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</si>
  <si>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</si>
  <si>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</si>
  <si>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</si>
  <si>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</si>
  <si>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</si>
  <si>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</si>
  <si>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</si>
  <si>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</si>
  <si>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</si>
  <si>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</si>
  <si>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</si>
  <si>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</si>
  <si>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</si>
  <si>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</si>
  <si>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</si>
  <si>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</si>
  <si>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</si>
  <si>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</si>
  <si>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</si>
  <si>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</si>
  <si>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</si>
  <si>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</si>
  <si>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</si>
  <si>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</si>
  <si>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</si>
  <si>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</si>
  <si>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</si>
  <si>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</si>
  <si>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</si>
  <si>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</si>
  <si>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</si>
  <si>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</si>
  <si>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</si>
  <si>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</si>
  <si>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</si>
  <si>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</si>
  <si>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</si>
  <si>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</si>
  <si>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</si>
  <si>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</si>
  <si>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</si>
  <si>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</si>
  <si>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</si>
  <si>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</si>
  <si>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</si>
  <si>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</si>
  <si>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</si>
  <si>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</si>
  <si>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</si>
  <si>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</si>
  <si>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</si>
  <si>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</si>
  <si>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</si>
  <si>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</si>
  <si>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</si>
  <si>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</si>
  <si>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</si>
  <si>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</si>
  <si>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</si>
  <si>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</si>
  <si>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</si>
  <si>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</si>
  <si>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</si>
  <si>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</si>
  <si>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</si>
  <si>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</si>
  <si>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</si>
  <si>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</si>
  <si>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</si>
  <si>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</si>
  <si>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</si>
  <si>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</si>
  <si>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</si>
  <si>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</si>
  <si>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</si>
  <si>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</si>
  <si>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</si>
  <si>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</si>
  <si>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</si>
  <si>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</si>
  <si>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</si>
  <si>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</si>
  <si>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</si>
  <si>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</si>
  <si>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</si>
  <si>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</si>
  <si>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</si>
  <si>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</si>
  <si>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</si>
  <si>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</si>
  <si>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</si>
  <si>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</si>
  <si>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</si>
  <si>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</si>
  <si>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</si>
  <si>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</si>
  <si>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</si>
  <si>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</si>
  <si>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</si>
  <si>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</si>
  <si>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</si>
  <si>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</si>
  <si>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</si>
  <si>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</si>
  <si>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</si>
  <si>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</si>
  <si>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</si>
  <si>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</si>
  <si>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</si>
  <si>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</si>
  <si>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</si>
  <si>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</si>
  <si>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</si>
  <si>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</si>
  <si>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</si>
  <si>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</si>
  <si>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</si>
  <si>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</si>
  <si>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</si>
  <si>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</si>
  <si>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</si>
  <si>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</si>
  <si>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</si>
  <si>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</si>
  <si>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</si>
  <si>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</si>
  <si>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</si>
  <si>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</si>
  <si>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</si>
  <si>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</si>
  <si>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</si>
  <si>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</si>
  <si>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</si>
  <si>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</si>
  <si>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</si>
  <si>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</si>
  <si>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</si>
  <si>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</si>
  <si>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</si>
  <si>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</si>
  <si>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</si>
  <si>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</si>
  <si>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</si>
  <si>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</si>
  <si>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</si>
  <si>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</si>
  <si>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</si>
  <si>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</si>
  <si>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</si>
  <si>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</si>
  <si>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</si>
  <si>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</si>
  <si>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</si>
  <si>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</si>
  <si>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</si>
  <si>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</si>
  <si>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</si>
  <si>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</si>
  <si>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</si>
  <si>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</si>
  <si>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</si>
  <si>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</si>
  <si>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</si>
  <si>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</si>
  <si>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</si>
  <si>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</si>
  <si>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</si>
  <si>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</si>
  <si>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</si>
  <si>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</si>
  <si>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</si>
  <si>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</si>
  <si>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</si>
  <si>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</si>
  <si>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</si>
  <si>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</si>
  <si>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</si>
  <si>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</si>
  <si>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</si>
  <si>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</si>
  <si>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</si>
  <si>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</si>
  <si>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</si>
  <si>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</si>
  <si>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</si>
  <si>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</si>
  <si>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</si>
  <si>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</si>
  <si>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</si>
  <si>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</si>
  <si>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</si>
  <si>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</si>
  <si>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</si>
  <si>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</si>
  <si>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</si>
  <si>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</si>
  <si>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</si>
  <si>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</si>
  <si>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</si>
  <si>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</si>
  <si>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</si>
  <si>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</si>
  <si>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</si>
  <si>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</si>
  <si>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</si>
  <si>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</si>
  <si>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</si>
  <si>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</si>
  <si>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</si>
  <si>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</si>
  <si>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</si>
  <si>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</si>
  <si>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</si>
  <si>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</si>
  <si>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</si>
  <si>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</si>
  <si>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</si>
  <si>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</si>
  <si>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</si>
  <si>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</si>
  <si>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</si>
  <si>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</si>
  <si>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</si>
  <si>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</si>
  <si>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</si>
  <si>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</si>
  <si>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</si>
  <si>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</si>
  <si>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</si>
  <si>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</si>
  <si>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</si>
  <si>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</si>
  <si>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</si>
  <si>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</si>
  <si>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</si>
  <si>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</si>
  <si>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</si>
  <si>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</si>
  <si>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</si>
  <si>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</si>
  <si>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</si>
  <si>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</si>
  <si>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</si>
  <si>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</si>
  <si>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</si>
  <si>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</si>
  <si>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</si>
  <si>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</si>
  <si>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</si>
  <si>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</si>
  <si>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</si>
  <si>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</si>
  <si>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</si>
  <si>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</si>
  <si>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</si>
  <si>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</si>
  <si>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</si>
  <si>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</si>
  <si>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</si>
  <si>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</si>
  <si>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</si>
  <si>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</si>
  <si>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</si>
  <si>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</si>
  <si>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</si>
  <si>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</si>
  <si>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</si>
  <si>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</si>
  <si>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</si>
  <si>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</si>
  <si>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</si>
  <si>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</si>
  <si>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</si>
  <si>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</si>
  <si>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</si>
  <si>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</si>
  <si>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</si>
  <si>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</si>
  <si>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</si>
  <si>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</si>
  <si>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</si>
  <si>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</si>
  <si>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</si>
  <si>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</si>
  <si>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</si>
  <si>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</si>
  <si>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</si>
  <si>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</si>
  <si>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</si>
  <si>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</si>
  <si>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</si>
  <si>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</si>
  <si>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</si>
  <si>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</si>
  <si>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</si>
  <si>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</si>
  <si>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</si>
  <si>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</si>
  <si>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</si>
  <si>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</si>
  <si>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</si>
  <si>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</si>
  <si>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</si>
  <si>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</si>
  <si>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</si>
  <si>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</si>
  <si>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</si>
  <si>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</si>
  <si>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</si>
  <si>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</si>
  <si>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</si>
  <si>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</si>
  <si>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</si>
  <si>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</si>
  <si>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</si>
  <si>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</si>
  <si>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</si>
  <si>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</si>
  <si>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</si>
  <si>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</si>
  <si>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</si>
  <si>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</si>
  <si>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</si>
  <si>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</si>
  <si>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</si>
  <si>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</si>
  <si>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</si>
  <si>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</si>
  <si>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</si>
  <si>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</si>
  <si>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</si>
  <si>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</si>
  <si>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</si>
  <si>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</si>
  <si>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</si>
  <si>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</si>
  <si>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</si>
  <si>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</si>
  <si>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</si>
  <si>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</si>
  <si>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</si>
  <si>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</si>
  <si>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</si>
  <si>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</si>
  <si>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</si>
  <si>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</si>
  <si>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</si>
  <si>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</si>
  <si>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</si>
  <si>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</si>
  <si>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</si>
  <si>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</si>
  <si>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</si>
  <si>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</si>
  <si>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</si>
  <si>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</si>
  <si>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</si>
  <si>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</si>
  <si>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</si>
  <si>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</si>
  <si>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</si>
  <si>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</si>
  <si>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</si>
  <si>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</si>
  <si>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</si>
  <si>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</si>
  <si>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</si>
  <si>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</si>
  <si>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</si>
  <si>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</si>
  <si>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</si>
  <si>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</si>
  <si>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</si>
  <si>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</si>
  <si>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</si>
  <si>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</si>
  <si>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</si>
  <si>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</si>
  <si>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</si>
  <si>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</si>
  <si>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</si>
  <si>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</si>
  <si>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</si>
  <si>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</si>
  <si>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</si>
  <si>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</si>
  <si>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</si>
  <si>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</si>
  <si>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</si>
  <si>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</si>
  <si>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</si>
  <si>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</si>
  <si>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</si>
  <si>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</si>
  <si>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</si>
  <si>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</si>
  <si>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</si>
  <si>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</si>
  <si>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</si>
  <si>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</si>
  <si>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</si>
  <si>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</si>
  <si>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</si>
  <si>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</si>
  <si>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</si>
  <si>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</si>
  <si>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</si>
  <si>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</si>
  <si>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</si>
  <si>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</si>
  <si>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</si>
  <si>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</si>
  <si>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</si>
  <si>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</si>
  <si>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</si>
  <si>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</si>
  <si>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</si>
  <si>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</si>
  <si>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</si>
  <si>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</si>
  <si>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</si>
  <si>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</si>
  <si>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</si>
  <si>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</si>
  <si>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</si>
  <si>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</si>
  <si>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</si>
  <si>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</si>
  <si>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</si>
  <si>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</si>
  <si>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</si>
  <si>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</si>
  <si>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</si>
  <si>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</si>
  <si>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</si>
  <si>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</si>
  <si>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</si>
  <si>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</si>
  <si>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</si>
  <si>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</si>
  <si>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</si>
  <si>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</si>
  <si>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</si>
  <si>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</si>
  <si>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</si>
  <si>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</si>
  <si>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</si>
  <si>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</si>
  <si>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</si>
  <si>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</si>
  <si>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</si>
  <si>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</si>
  <si>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</si>
  <si>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</si>
  <si>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</si>
  <si>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</si>
  <si>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</si>
  <si>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</si>
  <si>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</si>
  <si>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</si>
  <si>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</si>
  <si>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</si>
  <si>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</si>
  <si>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</si>
  <si>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</si>
  <si>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</si>
  <si>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</si>
  <si>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</si>
  <si>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</si>
  <si>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</si>
  <si>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</si>
  <si>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</si>
  <si>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</si>
  <si>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</si>
  <si>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</si>
  <si>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</si>
  <si>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</si>
  <si>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</si>
  <si>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</si>
  <si>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</si>
  <si>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</si>
  <si>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</si>
  <si>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</si>
  <si>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</si>
  <si>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</si>
  <si>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</si>
  <si>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</si>
  <si>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</si>
  <si>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</si>
  <si>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</si>
  <si>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</si>
  <si>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</si>
  <si>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</si>
  <si>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</si>
  <si>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</si>
  <si>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</si>
  <si>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</si>
  <si>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</si>
  <si>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</si>
  <si>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</si>
  <si>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</si>
  <si>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</si>
  <si>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</si>
  <si>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</si>
  <si>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</si>
  <si>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</si>
  <si>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</si>
  <si>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</si>
  <si>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</si>
  <si>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</si>
  <si>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</si>
  <si>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</si>
  <si>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</si>
  <si>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</si>
  <si>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</si>
  <si>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</si>
  <si>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</si>
  <si>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</si>
  <si>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</si>
  <si>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</si>
  <si>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</si>
  <si>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</si>
  <si>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</si>
  <si>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</si>
  <si>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</si>
  <si>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</si>
  <si>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</si>
  <si>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</si>
  <si>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</si>
  <si>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</si>
  <si>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</si>
  <si>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</si>
  <si>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</si>
  <si>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</si>
  <si>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</si>
  <si>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</si>
  <si>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</si>
  <si>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</si>
  <si>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</si>
  <si>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</si>
  <si>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</si>
  <si>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</si>
  <si>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</si>
  <si>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</si>
  <si>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</si>
  <si>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</si>
  <si>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</si>
  <si>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</si>
  <si>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</si>
  <si>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</si>
  <si>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</si>
  <si>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</si>
  <si>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</si>
  <si>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</si>
  <si>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</si>
  <si>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</si>
  <si>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</si>
  <si>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</si>
  <si>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</si>
  <si>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</si>
  <si>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</si>
  <si>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</si>
  <si>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</si>
  <si>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</si>
  <si>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</si>
  <si>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</si>
  <si>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</si>
  <si>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</si>
  <si>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</si>
  <si>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</si>
  <si>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</si>
  <si>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</si>
  <si>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</si>
  <si>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</si>
  <si>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</si>
  <si>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</si>
  <si>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</si>
  <si>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</si>
  <si>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</si>
  <si>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</si>
  <si>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</si>
  <si>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</si>
  <si>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</si>
  <si>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</si>
  <si>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</si>
  <si>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</si>
  <si>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</si>
  <si>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</si>
  <si>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</si>
  <si>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</si>
  <si>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</si>
  <si>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</si>
  <si>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</si>
  <si>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</si>
  <si>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</si>
  <si>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</si>
  <si>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</si>
  <si>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</si>
  <si>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</si>
  <si>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</si>
  <si>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</si>
  <si>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</si>
  <si>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</si>
  <si>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</si>
  <si>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</si>
  <si>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</si>
  <si>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</si>
  <si>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</si>
  <si>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</si>
  <si>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</si>
  <si>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</si>
  <si>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</si>
  <si>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</si>
  <si>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</si>
  <si>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</si>
  <si>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</si>
  <si>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</si>
  <si>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</si>
  <si>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</si>
  <si>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</si>
  <si>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</si>
  <si>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</si>
  <si>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</si>
  <si>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</si>
  <si>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</si>
  <si>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</si>
  <si>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</si>
  <si>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</si>
  <si>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</si>
  <si>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</si>
  <si>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</si>
  <si>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</si>
  <si>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</si>
  <si>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</si>
  <si>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</si>
  <si>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</si>
  <si>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</si>
  <si>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</si>
  <si>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</si>
  <si>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</si>
  <si>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</si>
  <si>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</si>
  <si>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</si>
  <si>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</si>
  <si>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</si>
  <si>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</si>
  <si>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</si>
  <si>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</si>
  <si>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</si>
  <si>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</si>
  <si>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</si>
  <si>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</si>
  <si>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</si>
  <si>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</si>
  <si>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</si>
  <si>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</si>
  <si>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</si>
  <si>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</si>
  <si>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</si>
  <si>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</si>
  <si>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</si>
  <si>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</si>
  <si>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</si>
  <si>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</si>
  <si>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</si>
  <si>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</si>
  <si>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</si>
  <si>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</si>
  <si>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</si>
  <si>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</si>
  <si>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</si>
  <si>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</si>
  <si>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</si>
  <si>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</si>
  <si>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</si>
  <si>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</si>
  <si>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</si>
  <si>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</si>
  <si>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</si>
  <si>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</si>
  <si>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</si>
  <si>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</si>
  <si>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</si>
  <si>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</si>
  <si>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</si>
  <si>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</si>
  <si>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</si>
  <si>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</si>
  <si>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</si>
  <si>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</si>
  <si>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</si>
  <si>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</si>
  <si>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</si>
  <si>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</si>
  <si>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</si>
  <si>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</si>
  <si>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</si>
  <si>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</si>
  <si>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</si>
  <si>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</si>
  <si>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</si>
  <si>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</si>
  <si>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</si>
  <si>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</si>
  <si>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</si>
  <si>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</si>
  <si>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</si>
  <si>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</si>
  <si>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</si>
  <si>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</si>
  <si>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</si>
  <si>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</si>
  <si>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</si>
  <si>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</si>
  <si>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</si>
  <si>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</si>
  <si>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</si>
  <si>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</si>
  <si>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</si>
  <si>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</si>
  <si>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</si>
  <si>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</si>
  <si>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</si>
  <si>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</si>
  <si>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</si>
  <si>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</si>
  <si>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</si>
  <si>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</si>
  <si>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</si>
  <si>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</si>
  <si>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</si>
  <si>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</si>
  <si>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</si>
  <si>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</si>
  <si>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</si>
  <si>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</si>
  <si>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</si>
  <si>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</si>
  <si>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</si>
  <si>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</si>
  <si>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</si>
  <si>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</si>
  <si>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</si>
  <si>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</si>
  <si>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</si>
  <si>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</si>
  <si>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</si>
  <si>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</si>
  <si>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</si>
  <si>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</si>
  <si>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</si>
  <si>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</si>
  <si>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</si>
  <si>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</si>
  <si>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</si>
  <si>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</si>
  <si>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</si>
  <si>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</si>
  <si>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</si>
  <si>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</si>
  <si>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</si>
  <si>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</si>
  <si>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</si>
  <si>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</si>
  <si>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</si>
  <si>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</si>
  <si>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</si>
  <si>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</si>
  <si>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</si>
  <si>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</si>
  <si>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</si>
  <si>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</si>
  <si>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</si>
  <si>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</si>
  <si>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</si>
  <si>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</si>
  <si>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</si>
  <si>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</si>
  <si>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</si>
  <si>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</si>
  <si>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</si>
  <si>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</si>
  <si>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</si>
  <si>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</si>
  <si>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</si>
  <si>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</si>
  <si>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</si>
  <si>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</si>
  <si>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</si>
  <si>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</si>
  <si>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</si>
  <si>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</si>
  <si>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</si>
  <si>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</si>
  <si>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</si>
  <si>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</si>
  <si>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</si>
  <si>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</si>
  <si>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</si>
  <si>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</si>
  <si>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</si>
  <si>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</si>
  <si>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</si>
  <si>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</si>
  <si>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</si>
  <si>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</si>
  <si>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</si>
  <si>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</si>
  <si>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</si>
  <si>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</si>
  <si>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</si>
  <si>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</si>
  <si>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</si>
  <si>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</si>
  <si>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</si>
  <si>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</si>
  <si>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</si>
  <si>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</si>
  <si>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</si>
  <si>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</si>
  <si>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</si>
  <si>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</si>
  <si>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</si>
  <si>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</si>
  <si>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</si>
  <si>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</si>
  <si>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</si>
  <si>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</si>
  <si>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</si>
  <si>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</si>
  <si>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</si>
  <si>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</si>
  <si>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</si>
  <si>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</si>
  <si>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</si>
  <si>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</si>
  <si>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</si>
  <si>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</si>
  <si>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</si>
  <si>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</si>
  <si>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</si>
  <si>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</si>
  <si>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</si>
  <si>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</si>
  <si>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</si>
  <si>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</si>
  <si>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</si>
  <si>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</si>
  <si>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</si>
  <si>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</si>
  <si>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</si>
  <si>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</si>
  <si>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</si>
  <si>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</si>
  <si>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</si>
  <si>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</si>
  <si>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</si>
  <si>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</si>
  <si>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</si>
  <si>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</si>
  <si>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</si>
  <si>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</si>
  <si>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</si>
  <si>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</si>
  <si>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</si>
  <si>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</si>
  <si>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</si>
  <si>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</si>
  <si>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</si>
  <si>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</si>
  <si>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</si>
  <si>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</si>
  <si>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</si>
  <si>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</si>
  <si>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</si>
  <si>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</si>
  <si>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</si>
  <si>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</si>
  <si>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</si>
  <si>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</si>
  <si>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</si>
  <si>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</si>
  <si>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</si>
  <si>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</si>
  <si>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</si>
  <si>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</si>
  <si>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</si>
  <si>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</si>
  <si>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</si>
  <si>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</si>
  <si>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</si>
  <si>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</si>
  <si>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</si>
  <si>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</si>
  <si>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</si>
  <si>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</si>
  <si>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</si>
  <si>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</si>
  <si>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</si>
  <si>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</si>
  <si>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</si>
  <si>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</si>
  <si>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</si>
  <si>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</si>
  <si>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</si>
  <si>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</si>
  <si>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</si>
  <si>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</si>
  <si>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</si>
  <si>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</si>
  <si>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</si>
  <si>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</si>
  <si>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</si>
  <si>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</si>
  <si>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</si>
  <si>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</si>
  <si>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</si>
  <si>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</si>
  <si>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</si>
  <si>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</si>
  <si>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</si>
  <si>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</si>
  <si>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</si>
  <si>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</si>
  <si>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</si>
  <si>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</si>
  <si>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</si>
  <si>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</si>
  <si>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</si>
  <si>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</si>
  <si>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</si>
  <si>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</si>
  <si>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</si>
  <si>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</si>
  <si>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</si>
  <si>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</si>
  <si>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</si>
  <si>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</si>
  <si>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</si>
  <si>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</si>
  <si>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</si>
  <si>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</si>
  <si>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</si>
  <si>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</si>
  <si>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</si>
  <si>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</si>
  <si>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</si>
  <si>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</si>
  <si>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</si>
  <si>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</si>
  <si>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</si>
  <si>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</si>
  <si>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</si>
  <si>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</si>
  <si>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</si>
  <si>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</si>
  <si>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</si>
  <si>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</si>
  <si>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</si>
  <si>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</si>
  <si>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</si>
  <si>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</si>
  <si>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</si>
  <si>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</si>
  <si>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</si>
  <si>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</si>
  <si>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</si>
  <si>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</si>
  <si>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</si>
  <si>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</si>
  <si>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</si>
  <si>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</si>
  <si>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</si>
  <si>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</si>
  <si>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</si>
  <si>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</si>
  <si>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</si>
  <si>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</si>
  <si>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</si>
  <si>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</si>
  <si>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</si>
  <si>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</si>
  <si>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</si>
  <si>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</si>
  <si>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</si>
  <si>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</si>
  <si>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</si>
  <si>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</si>
  <si>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</si>
  <si>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</si>
  <si>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</si>
  <si>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</si>
  <si>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</si>
  <si>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</si>
  <si>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</si>
  <si>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</si>
  <si>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</si>
  <si>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</si>
  <si>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</si>
  <si>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</si>
  <si>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</si>
  <si>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</si>
  <si>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</si>
  <si>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</si>
  <si>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</si>
  <si>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</si>
  <si>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</si>
  <si>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</si>
  <si>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</si>
  <si>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</si>
  <si>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</si>
  <si>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</si>
  <si>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</si>
  <si>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</si>
  <si>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</si>
  <si>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</si>
  <si>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</si>
  <si>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</si>
  <si>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</si>
  <si>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</si>
  <si>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</si>
  <si>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</si>
  <si>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</si>
  <si>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</si>
  <si>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</si>
  <si>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</si>
  <si>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</si>
  <si>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</si>
  <si>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</si>
  <si>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</si>
  <si>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</si>
  <si>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</si>
  <si>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</si>
  <si>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</si>
  <si>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</si>
  <si>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</si>
  <si>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</si>
  <si>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</si>
  <si>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</si>
  <si>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</si>
  <si>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</si>
  <si>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</si>
  <si>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</si>
  <si>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</si>
  <si>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</si>
  <si>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</si>
  <si>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</si>
  <si>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</si>
  <si>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</si>
  <si>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</si>
  <si>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</si>
  <si>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</si>
  <si>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</si>
  <si>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</si>
  <si>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</si>
  <si>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</si>
  <si>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</si>
  <si>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</si>
  <si>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</si>
  <si>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</si>
  <si>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</si>
  <si>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</si>
  <si>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</si>
  <si>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</si>
  <si>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</si>
  <si>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</si>
  <si>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</si>
  <si>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</si>
  <si>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</si>
  <si>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</si>
  <si>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</si>
  <si>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</si>
  <si>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</si>
  <si>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</si>
  <si>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</si>
  <si>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</si>
  <si>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</si>
  <si>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</si>
  <si>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</si>
  <si>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</si>
  <si>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</si>
  <si>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</si>
  <si>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</si>
  <si>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</si>
  <si>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</si>
  <si>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</si>
  <si>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</si>
  <si>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</si>
  <si>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</si>
  <si>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</si>
  <si>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</si>
  <si>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</si>
  <si>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</si>
  <si>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</si>
  <si>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</si>
  <si>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</si>
  <si>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</si>
  <si>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</si>
  <si>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</si>
  <si>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</si>
  <si>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</si>
  <si>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</si>
  <si>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</si>
  <si>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</si>
  <si>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</si>
  <si>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</si>
  <si>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</si>
  <si>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</si>
  <si>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</si>
  <si>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</si>
  <si>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</si>
  <si>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</si>
  <si>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</si>
  <si>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</si>
  <si>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</si>
  <si>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</si>
  <si>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</si>
  <si>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</si>
  <si>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</si>
  <si>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</si>
  <si>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</si>
  <si>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</si>
  <si>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</si>
  <si>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</si>
  <si>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</si>
  <si>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</si>
  <si>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</si>
  <si>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</si>
  <si>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</si>
  <si>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</si>
  <si>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</si>
  <si>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</si>
  <si>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</si>
  <si>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</si>
  <si>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</si>
  <si>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</si>
  <si>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</si>
  <si>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</si>
  <si>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</si>
  <si>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</si>
  <si>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</si>
  <si>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</si>
  <si>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</si>
  <si>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</si>
  <si>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</si>
  <si>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</si>
  <si>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</si>
  <si>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</si>
  <si>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</si>
  <si>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</si>
  <si>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</si>
  <si>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</si>
  <si>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</si>
  <si>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</si>
  <si>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</si>
  <si>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</si>
  <si>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</si>
  <si>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</si>
  <si>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</si>
  <si>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</si>
  <si>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</si>
  <si>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</si>
  <si>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</si>
  <si>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</si>
  <si>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</si>
  <si>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</si>
  <si>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</si>
  <si>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</si>
  <si>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</si>
  <si>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</si>
  <si>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</si>
  <si>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</si>
  <si>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</si>
  <si>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</si>
  <si>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</si>
  <si>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</si>
  <si>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</si>
  <si>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</si>
  <si>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</si>
  <si>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</si>
  <si>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</si>
  <si>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</si>
  <si>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</si>
  <si>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</si>
  <si>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</si>
  <si>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</si>
  <si>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</si>
  <si>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</si>
  <si>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</si>
  <si>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</si>
  <si>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</si>
  <si>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</si>
  <si>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</si>
  <si>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</si>
  <si>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</si>
  <si>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</si>
  <si>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</si>
  <si>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</si>
  <si>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</si>
  <si>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</si>
  <si>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</si>
  <si>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</si>
  <si>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</si>
  <si>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</si>
  <si>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</si>
  <si>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</si>
  <si>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</si>
  <si>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</si>
  <si>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</si>
  <si>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</si>
  <si>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</si>
  <si>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</si>
  <si>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</si>
  <si>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</si>
  <si>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</si>
  <si>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</si>
  <si>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</si>
  <si>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</si>
  <si>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</si>
  <si>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</si>
  <si>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</si>
  <si>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</si>
  <si>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</si>
  <si>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</si>
  <si>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</si>
  <si>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</si>
  <si>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</si>
  <si>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</si>
  <si>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</si>
  <si>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</si>
  <si>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</si>
  <si>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</si>
  <si>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</si>
  <si>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</si>
  <si>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</si>
  <si>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</si>
  <si>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</si>
  <si>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</si>
  <si>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</si>
  <si>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</si>
  <si>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</si>
  <si>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</si>
  <si>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</si>
  <si>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</si>
  <si>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</si>
  <si>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</si>
  <si>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</si>
  <si>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</si>
  <si>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</si>
  <si>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</si>
  <si>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</si>
  <si>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</si>
  <si>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</si>
  <si>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</si>
  <si>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</si>
  <si>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</si>
  <si>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</si>
  <si>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</si>
  <si>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</si>
  <si>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</si>
  <si>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</si>
  <si>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</si>
  <si>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</si>
  <si>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</si>
  <si>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</si>
  <si>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</si>
  <si>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</si>
  <si>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</si>
  <si>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</si>
  <si>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</si>
  <si>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</si>
  <si>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</si>
  <si>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</si>
  <si>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</si>
  <si>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</si>
  <si>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</si>
  <si>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</si>
  <si>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</si>
  <si>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</si>
  <si>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</si>
  <si>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</si>
  <si>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</si>
  <si>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</si>
  <si>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</si>
  <si>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</si>
  <si>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</si>
  <si>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</si>
  <si>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</si>
  <si>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</si>
  <si>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</si>
  <si>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</si>
  <si>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</si>
  <si>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</si>
  <si>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</si>
  <si>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</si>
  <si>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</si>
  <si>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</si>
  <si>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</si>
  <si>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</si>
  <si>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</si>
  <si>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</si>
  <si>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</si>
  <si>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</si>
  <si>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</si>
  <si>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</si>
  <si>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</si>
  <si>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</si>
  <si>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</si>
  <si>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</si>
  <si>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</si>
  <si>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</si>
  <si>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</si>
  <si>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</si>
  <si>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</si>
  <si>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</si>
  <si>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</si>
  <si>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</si>
  <si>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</si>
  <si>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</si>
  <si>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</si>
  <si>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</si>
  <si>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</si>
  <si>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</si>
  <si>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</si>
  <si>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</si>
  <si>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</si>
  <si>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</si>
  <si>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</si>
  <si>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</si>
  <si>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</si>
  <si>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</si>
  <si>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</si>
  <si>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</si>
  <si>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</si>
  <si>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</si>
  <si>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</si>
  <si>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</si>
  <si>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</si>
  <si>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</si>
  <si>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</si>
  <si>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</si>
  <si>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</si>
  <si>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</si>
  <si>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</si>
  <si>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</si>
  <si>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</si>
  <si>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</si>
  <si>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</si>
  <si>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</si>
  <si>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</si>
  <si>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</si>
  <si>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</si>
  <si>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</si>
  <si>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</si>
  <si>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</si>
  <si>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</si>
  <si>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</si>
  <si>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</si>
  <si>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</si>
  <si>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</si>
  <si>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</si>
  <si>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</si>
  <si>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</si>
  <si>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</si>
  <si>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</si>
  <si>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</si>
  <si>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</si>
  <si>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</si>
  <si>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</si>
  <si>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</si>
  <si>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</si>
  <si>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</si>
  <si>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</si>
  <si>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</si>
  <si>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</si>
  <si>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</si>
  <si>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</si>
  <si>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</si>
  <si>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</si>
  <si>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</si>
  <si>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</si>
  <si>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</si>
  <si>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</si>
  <si>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</si>
  <si>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</si>
  <si>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</si>
  <si>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</si>
  <si>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</si>
  <si>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</si>
  <si>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</si>
  <si>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</si>
  <si>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</si>
  <si>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</si>
  <si>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</si>
  <si>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</si>
  <si>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</si>
  <si>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</si>
  <si>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</si>
  <si>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</si>
  <si>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</si>
  <si>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</si>
  <si>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</si>
  <si>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</si>
  <si>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</si>
  <si>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</si>
  <si>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</si>
  <si>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</si>
  <si>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</si>
  <si>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</si>
  <si>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</si>
  <si>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</si>
  <si>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</si>
  <si>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</si>
  <si>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</si>
  <si>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</si>
  <si>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</si>
  <si>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</si>
  <si>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</si>
  <si>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</si>
  <si>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</si>
  <si>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</si>
  <si>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</si>
  <si>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</si>
  <si>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</si>
  <si>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</si>
  <si>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</si>
  <si>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</si>
  <si>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</si>
  <si>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</si>
  <si>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</si>
  <si>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</si>
  <si>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</si>
  <si>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</si>
  <si>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</si>
  <si>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</si>
  <si>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</si>
  <si>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</si>
  <si>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</si>
  <si>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</si>
  <si>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</si>
  <si>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</si>
  <si>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</si>
  <si>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</si>
  <si>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</si>
  <si>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</si>
  <si>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</si>
  <si>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</si>
  <si>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</si>
  <si>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</si>
  <si>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</si>
  <si>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</si>
  <si>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</si>
  <si>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</si>
  <si>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</si>
  <si>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</si>
  <si>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</si>
  <si>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</si>
  <si>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</si>
  <si>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</si>
  <si>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</si>
  <si>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</si>
  <si>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</si>
  <si>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</si>
  <si>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</si>
  <si>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</si>
  <si>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</si>
  <si>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</si>
  <si>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</si>
  <si>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</si>
  <si>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</si>
  <si>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</si>
  <si>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</si>
  <si>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</si>
  <si>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</si>
  <si>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</si>
  <si>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</si>
  <si>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</si>
  <si>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</si>
  <si>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</si>
  <si>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</si>
  <si>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</si>
  <si>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</si>
  <si>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</si>
  <si>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</si>
  <si>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</si>
  <si>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</si>
  <si>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</si>
  <si>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</si>
  <si>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</si>
  <si>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</si>
  <si>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</si>
  <si>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</si>
  <si>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</si>
  <si>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</si>
  <si>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</si>
  <si>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</si>
  <si>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</si>
  <si>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</si>
  <si>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</si>
  <si>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</si>
  <si>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</si>
  <si>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</si>
  <si>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</si>
  <si>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</si>
  <si>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</si>
  <si>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</si>
  <si>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</si>
  <si>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</si>
  <si>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</si>
  <si>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</si>
  <si>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</si>
  <si>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</si>
  <si>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</si>
  <si>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</si>
  <si>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</si>
  <si>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</si>
  <si>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</si>
  <si>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</si>
  <si>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</si>
  <si>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</si>
  <si>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</si>
  <si>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</si>
  <si>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</si>
  <si>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</si>
  <si>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</si>
  <si>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</si>
  <si>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</si>
  <si>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</si>
  <si>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</si>
  <si>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</si>
  <si>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</si>
  <si>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</si>
  <si>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</si>
  <si>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</si>
  <si>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</si>
  <si>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</si>
  <si>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</si>
  <si>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</si>
  <si>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</si>
  <si>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</si>
  <si>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</si>
  <si>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</si>
  <si>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</si>
  <si>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</si>
  <si>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</si>
  <si>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</si>
  <si>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</si>
  <si>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</si>
  <si>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</si>
  <si>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</si>
  <si>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</si>
  <si>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</si>
  <si>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</si>
  <si>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</si>
  <si>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</si>
  <si>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</si>
  <si>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</si>
  <si>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</si>
  <si>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</si>
  <si>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</si>
  <si>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</si>
  <si>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</si>
  <si>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</si>
  <si>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</si>
  <si>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</si>
  <si>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</si>
  <si>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</si>
  <si>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</si>
  <si>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</si>
  <si>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</si>
  <si>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</si>
  <si>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</si>
  <si>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</si>
  <si>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</si>
  <si>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</si>
  <si>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</si>
  <si>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</si>
  <si>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</si>
  <si>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</si>
  <si>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</si>
  <si>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</si>
  <si>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</si>
  <si>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</si>
  <si>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</si>
  <si>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</si>
  <si>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</si>
  <si>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</si>
  <si>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</si>
  <si>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</si>
  <si>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</si>
  <si>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</si>
  <si>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</si>
  <si>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</si>
  <si>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</si>
  <si>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</si>
  <si>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</si>
  <si>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</si>
  <si>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</si>
  <si>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</si>
  <si>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</si>
  <si>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</si>
  <si>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</si>
  <si>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</si>
  <si>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</si>
  <si>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</si>
  <si>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</si>
  <si>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</si>
  <si>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</si>
  <si>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</si>
  <si>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</si>
  <si>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</si>
  <si>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</si>
  <si>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</si>
  <si>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</si>
  <si>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</si>
  <si>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</si>
  <si>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</si>
  <si>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</si>
  <si>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</si>
  <si>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</si>
  <si>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</si>
  <si>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</si>
  <si>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</si>
  <si>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</si>
  <si>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</si>
  <si>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</si>
  <si>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</si>
  <si>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</si>
  <si>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</si>
  <si>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</si>
  <si>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</si>
  <si>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</si>
  <si>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</si>
  <si>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</si>
  <si>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</si>
  <si>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</si>
  <si>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</si>
  <si>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</si>
  <si>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</si>
  <si>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</si>
  <si>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</si>
  <si>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</si>
  <si>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</si>
  <si>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</si>
  <si>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</si>
  <si>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</si>
  <si>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</si>
  <si>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</si>
  <si>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</si>
  <si>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</si>
  <si>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</si>
  <si>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</si>
  <si>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</si>
  <si>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</si>
  <si>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</si>
  <si>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</si>
  <si>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</si>
  <si>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</si>
  <si>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</si>
  <si>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</si>
  <si>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</si>
  <si>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</si>
  <si>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</si>
  <si>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</si>
  <si>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</si>
  <si>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</si>
  <si>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</si>
  <si>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</si>
  <si>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</si>
  <si>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</si>
  <si>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</si>
  <si>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</si>
  <si>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</si>
  <si>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</si>
  <si>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</si>
  <si>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</si>
  <si>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</si>
  <si>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</si>
  <si>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</si>
  <si>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</si>
  <si>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</si>
  <si>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</si>
  <si>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</si>
  <si>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</si>
  <si>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</si>
  <si>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</si>
  <si>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</si>
  <si>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</si>
  <si>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</si>
  <si>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</si>
  <si>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</si>
  <si>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</si>
  <si>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</si>
  <si>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</si>
  <si>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</si>
  <si>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</si>
  <si>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</si>
  <si>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</si>
  <si>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</si>
  <si>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</si>
  <si>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</si>
  <si>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</si>
  <si>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</si>
  <si>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</si>
  <si>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</si>
  <si>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</si>
  <si>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</si>
  <si>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</si>
  <si>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</si>
  <si>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</si>
  <si>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</si>
  <si>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</si>
  <si>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</si>
  <si>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</si>
  <si>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</si>
  <si>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</si>
  <si>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</si>
  <si>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</si>
  <si>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</si>
  <si>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</si>
  <si>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</si>
  <si>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</si>
  <si>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</si>
  <si>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</si>
  <si>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</si>
  <si>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</si>
  <si>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</si>
  <si>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</si>
  <si>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</si>
  <si>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</si>
  <si>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</si>
  <si>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</si>
  <si>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</si>
  <si>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</si>
  <si>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</si>
  <si>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</si>
  <si>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</si>
  <si>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</si>
  <si>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</si>
  <si>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</si>
  <si>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</si>
  <si>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</si>
  <si>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</si>
  <si>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</si>
  <si>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</si>
  <si>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</si>
  <si>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</si>
  <si>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</si>
  <si>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</si>
  <si>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</si>
  <si>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</si>
  <si>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</si>
  <si>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</si>
  <si>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</si>
  <si>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</si>
  <si>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</si>
  <si>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</si>
  <si>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</si>
  <si>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</si>
  <si>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</si>
  <si>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</si>
  <si>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</si>
  <si>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</si>
  <si>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</si>
  <si>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</si>
  <si>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</si>
  <si>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</si>
  <si>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</si>
  <si>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</si>
  <si>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</si>
  <si>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</si>
  <si>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</si>
  <si>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</si>
  <si>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</si>
  <si>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</si>
  <si>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</si>
  <si>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</si>
  <si>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</si>
  <si>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</si>
  <si>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</si>
  <si>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</si>
  <si>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</si>
  <si>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</si>
  <si>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</si>
  <si>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</si>
  <si>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</si>
  <si>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</si>
  <si>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</si>
  <si>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</si>
  <si>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</si>
  <si>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</si>
  <si>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</si>
  <si>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</si>
  <si>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</si>
  <si>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</si>
  <si>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</si>
  <si>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</si>
  <si>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</si>
  <si>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</si>
  <si>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</si>
  <si>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</si>
  <si>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</si>
  <si>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</si>
  <si>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</si>
  <si>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</si>
  <si>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</si>
  <si>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</si>
  <si>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</si>
  <si>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</si>
  <si>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</si>
  <si>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</si>
  <si>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</si>
  <si>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</si>
  <si>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</si>
  <si>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</si>
  <si>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</si>
  <si>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</si>
  <si>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</si>
  <si>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</si>
  <si>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</si>
  <si>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</si>
  <si>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</si>
  <si>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</si>
  <si>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</si>
  <si>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</si>
  <si>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</si>
  <si>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</si>
  <si>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</si>
  <si>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</si>
  <si>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</si>
  <si>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</si>
  <si>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</si>
  <si>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</si>
  <si>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</si>
  <si>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</si>
  <si>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</si>
  <si>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</si>
  <si>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</si>
  <si>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</si>
  <si>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</si>
  <si>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</si>
  <si>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</si>
  <si>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</si>
  <si>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</si>
  <si>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</si>
  <si>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</si>
  <si>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</si>
  <si>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</si>
  <si>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</si>
  <si>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</si>
  <si>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</si>
  <si>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</si>
  <si>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</si>
  <si>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</si>
  <si>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</si>
  <si>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</si>
  <si>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</si>
  <si>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</si>
  <si>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</si>
  <si>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</si>
  <si>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</si>
  <si>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</si>
  <si>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</si>
  <si>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</si>
  <si>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</si>
  <si>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</si>
  <si>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</si>
  <si>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</si>
  <si>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</si>
  <si>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</si>
  <si>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</si>
  <si>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</si>
  <si>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</si>
  <si>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</si>
  <si>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</si>
  <si>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</si>
  <si>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</si>
  <si>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</si>
  <si>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</si>
  <si>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</si>
  <si>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</si>
  <si>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</si>
  <si>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</si>
  <si>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</si>
  <si>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</si>
  <si>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</si>
  <si>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</si>
  <si>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</si>
  <si>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</si>
  <si>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</si>
  <si>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</si>
  <si>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</si>
  <si>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</si>
  <si>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</si>
  <si>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</si>
  <si>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</si>
  <si>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</si>
  <si>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</si>
  <si>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</si>
  <si>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</si>
  <si>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</si>
  <si>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</si>
  <si>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</si>
  <si>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</si>
  <si>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</si>
  <si>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</si>
  <si>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</si>
  <si>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</si>
  <si>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</si>
  <si>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</si>
  <si>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</si>
  <si>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</si>
  <si>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</si>
  <si>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</si>
  <si>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</si>
  <si>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</si>
  <si>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</si>
  <si>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</si>
  <si>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</si>
  <si>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</si>
  <si>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</si>
  <si>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</si>
  <si>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</si>
  <si>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</si>
  <si>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</si>
  <si>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</si>
  <si>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</si>
  <si>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</si>
  <si>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</si>
  <si>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</si>
  <si>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</si>
  <si>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</si>
  <si>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</si>
  <si>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</si>
  <si>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</si>
  <si>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</si>
  <si>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</si>
  <si>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</si>
  <si>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</si>
  <si>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</si>
  <si>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</si>
  <si>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</si>
  <si>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</si>
  <si>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</si>
  <si>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</si>
  <si>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</si>
  <si>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</si>
  <si>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</si>
  <si>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</si>
  <si>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</si>
  <si>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</si>
  <si>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</si>
  <si>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</si>
  <si>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</si>
  <si>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</si>
  <si>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</si>
  <si>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</si>
  <si>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</si>
  <si>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</si>
  <si>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</si>
  <si>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</si>
  <si>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</si>
  <si>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</si>
  <si>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</si>
  <si>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</si>
  <si>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</si>
  <si>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</si>
  <si>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</si>
  <si>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</si>
  <si>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</si>
  <si>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</si>
  <si>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</si>
  <si>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</si>
  <si>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</si>
  <si>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</si>
  <si>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</si>
  <si>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</si>
  <si>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</si>
  <si>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</si>
  <si>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</si>
  <si>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</si>
  <si>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</si>
  <si>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</si>
  <si>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</si>
  <si>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</si>
  <si>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</si>
  <si>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</si>
  <si>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</si>
  <si>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</si>
  <si>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</si>
  <si>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</si>
  <si>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</si>
  <si>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</si>
  <si>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</si>
  <si>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</si>
  <si>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</si>
  <si>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</si>
  <si>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</si>
  <si>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</si>
  <si>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</si>
  <si>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</si>
  <si>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</si>
  <si>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</si>
  <si>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</si>
  <si>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</si>
  <si>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</si>
  <si>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</si>
  <si>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</si>
  <si>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</si>
  <si>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</si>
  <si>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</si>
  <si>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</si>
  <si>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</si>
  <si>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</si>
  <si>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</si>
  <si>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</si>
  <si>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</si>
  <si>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</si>
  <si>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</si>
  <si>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</si>
  <si>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</si>
  <si>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</si>
  <si>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</si>
  <si>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</si>
  <si>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</si>
  <si>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</si>
  <si>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</si>
  <si>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</si>
  <si>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</si>
  <si>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</si>
  <si>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</si>
  <si>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</si>
  <si>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</si>
  <si>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</si>
  <si>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</si>
  <si>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</si>
  <si>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</si>
  <si>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</si>
  <si>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</si>
  <si>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</si>
  <si>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</si>
  <si>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</si>
  <si>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</si>
  <si>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</si>
  <si>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</si>
  <si>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</si>
  <si>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</si>
  <si>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</si>
  <si>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</si>
  <si>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</si>
  <si>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</si>
  <si>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</si>
  <si>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</si>
  <si>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</si>
  <si>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</si>
  <si>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</si>
  <si>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</si>
  <si>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</si>
  <si>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</si>
  <si>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</si>
  <si>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</si>
  <si>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</si>
  <si>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</si>
  <si>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</si>
  <si>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</si>
  <si>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</si>
  <si>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</si>
  <si>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</si>
  <si>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</si>
  <si>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</si>
  <si>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</si>
  <si>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</si>
  <si>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</si>
  <si>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</si>
  <si>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</si>
  <si>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</si>
  <si>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</si>
  <si>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</si>
  <si>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</si>
  <si>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</si>
  <si>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</si>
  <si>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</si>
  <si>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</si>
  <si>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</si>
  <si>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</si>
  <si>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</si>
  <si>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</si>
  <si>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</si>
  <si>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</si>
  <si>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</si>
  <si>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</si>
  <si>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</si>
  <si>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</si>
  <si>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</si>
  <si>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</si>
  <si>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</si>
  <si>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</si>
  <si>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</si>
  <si>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</si>
  <si>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</si>
  <si>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</si>
  <si>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</si>
  <si>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</si>
  <si>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</si>
  <si>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</si>
  <si>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</si>
  <si>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</si>
  <si>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</si>
  <si>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</si>
  <si>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</si>
  <si>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</si>
  <si>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</si>
  <si>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</si>
  <si>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</si>
  <si>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</si>
  <si>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</si>
  <si>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</si>
  <si>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</si>
  <si>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</si>
  <si>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</si>
  <si>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</si>
  <si>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</si>
  <si>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</si>
  <si>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</si>
  <si>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</si>
  <si>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</si>
  <si>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</si>
  <si>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</si>
  <si>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</si>
  <si>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</si>
  <si>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</si>
  <si>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</si>
  <si>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</si>
  <si>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</si>
  <si>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</si>
  <si>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</si>
  <si>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</si>
  <si>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</si>
  <si>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</si>
  <si>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</si>
  <si>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</si>
  <si>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</si>
  <si>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</si>
  <si>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</si>
  <si>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</si>
  <si>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</si>
  <si>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</si>
  <si>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</si>
  <si>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</si>
  <si>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</si>
  <si>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</si>
  <si>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</si>
  <si>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</si>
  <si>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</si>
  <si>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</si>
  <si>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</si>
  <si>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</si>
  <si>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</si>
  <si>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</si>
  <si>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</si>
  <si>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</si>
  <si>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</si>
  <si>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</si>
  <si>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</si>
  <si>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</si>
  <si>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</si>
  <si>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</si>
  <si>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</si>
  <si>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</si>
  <si>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</si>
  <si>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</si>
  <si>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</si>
  <si>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</si>
  <si>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</si>
  <si>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</si>
  <si>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</si>
  <si>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</si>
  <si>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</si>
  <si>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</si>
  <si>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</si>
  <si>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</si>
  <si>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</si>
  <si>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</si>
  <si>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</si>
  <si>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</si>
  <si>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</si>
  <si>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</si>
  <si>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</si>
  <si>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</si>
  <si>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</si>
  <si>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</si>
  <si>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</si>
  <si>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</si>
  <si>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</si>
  <si>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</si>
  <si>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</si>
  <si>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</si>
  <si>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</si>
  <si>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</si>
  <si>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</si>
  <si>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</si>
  <si>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</si>
  <si>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</si>
  <si>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</si>
  <si>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</si>
  <si>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</si>
  <si>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</si>
  <si>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</si>
  <si>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</si>
  <si>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</si>
  <si>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</si>
  <si>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</si>
  <si>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</si>
  <si>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</si>
  <si>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</si>
  <si>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</si>
  <si>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</si>
  <si>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</si>
  <si>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</si>
  <si>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</si>
  <si>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</si>
  <si>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</si>
  <si>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</si>
  <si>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</si>
  <si>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</si>
  <si>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</si>
  <si>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</si>
  <si>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</si>
  <si>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</si>
  <si>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</si>
  <si>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</si>
  <si>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</si>
  <si>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</si>
  <si>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</si>
  <si>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</si>
  <si>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</si>
  <si>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</si>
  <si>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</si>
  <si>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</si>
  <si>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</si>
  <si>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</si>
  <si>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</si>
  <si>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</si>
  <si>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</si>
  <si>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</si>
  <si>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</si>
  <si>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</si>
  <si>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</si>
  <si>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</si>
  <si>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</si>
  <si>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</si>
  <si>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</si>
  <si>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</si>
  <si>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</si>
  <si>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</si>
  <si>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</si>
  <si>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</si>
  <si>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</si>
  <si>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</si>
  <si>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</si>
  <si>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</si>
  <si>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</si>
  <si>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</si>
  <si>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</si>
  <si>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</si>
  <si>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</si>
  <si>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</si>
  <si>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</si>
  <si>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</si>
  <si>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</si>
  <si>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</si>
  <si>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</si>
  <si>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</si>
  <si>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</si>
  <si>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</si>
  <si>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</si>
  <si>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</si>
  <si>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</si>
  <si>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</si>
  <si>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</si>
  <si>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</si>
  <si>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</si>
  <si>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</si>
  <si>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</si>
  <si>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</si>
  <si>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</si>
  <si>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</si>
  <si>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</si>
  <si>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</si>
  <si>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</si>
  <si>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</si>
  <si>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</si>
  <si>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</si>
  <si>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</si>
  <si>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</si>
  <si>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</si>
  <si>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</si>
  <si>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</si>
  <si>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</si>
  <si>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</si>
  <si>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</si>
  <si>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</si>
  <si>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</si>
  <si>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</si>
  <si>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</si>
  <si>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</si>
  <si>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</si>
  <si>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</si>
  <si>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</si>
  <si>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</si>
  <si>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</si>
  <si>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</si>
  <si>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</si>
  <si>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</si>
  <si>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</si>
  <si>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</si>
  <si>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</si>
  <si>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</si>
  <si>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</si>
  <si>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</si>
  <si>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</si>
  <si>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</si>
  <si>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</si>
  <si>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</si>
  <si>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</si>
  <si>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</si>
  <si>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</si>
  <si>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</si>
  <si>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</si>
  <si>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</si>
  <si>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</si>
  <si>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</si>
  <si>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</si>
  <si>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</si>
  <si>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</si>
  <si>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</si>
  <si>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</si>
  <si>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</si>
  <si>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</si>
  <si>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</si>
  <si>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</si>
  <si>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</si>
  <si>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</si>
  <si>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</si>
  <si>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</si>
  <si>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</si>
  <si>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</si>
  <si>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</si>
  <si>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</si>
  <si>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</si>
  <si>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</si>
  <si>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</si>
  <si>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</si>
  <si>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</si>
  <si>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</si>
  <si>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</si>
  <si>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</si>
  <si>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</si>
  <si>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</si>
  <si>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</si>
  <si>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</si>
  <si>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</si>
  <si>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</si>
  <si>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</si>
  <si>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</si>
  <si>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</si>
  <si>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</si>
  <si>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</si>
  <si>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</si>
  <si>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</si>
  <si>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</si>
  <si>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</si>
  <si>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</si>
  <si>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</si>
  <si>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</si>
  <si>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</si>
  <si>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</si>
  <si>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</si>
  <si>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</si>
  <si>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</si>
  <si>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</si>
  <si>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</si>
  <si>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</si>
  <si>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</si>
  <si>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</si>
  <si>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</si>
  <si>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</si>
  <si>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</si>
  <si>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</si>
  <si>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</si>
  <si>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</si>
  <si>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</si>
  <si>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</si>
  <si>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</si>
  <si>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</si>
  <si>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</si>
  <si>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</si>
  <si>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</si>
  <si>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</si>
  <si>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</si>
  <si>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</si>
  <si>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</si>
  <si>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</si>
  <si>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</si>
  <si>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</si>
  <si>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</si>
  <si>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</si>
  <si>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</si>
  <si>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</si>
  <si>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</si>
  <si>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</si>
  <si>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</si>
  <si>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</si>
  <si>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</si>
  <si>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</si>
  <si>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</si>
  <si>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</si>
  <si>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</si>
  <si>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</si>
  <si>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</si>
  <si>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</si>
  <si>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</si>
  <si>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</si>
  <si>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</si>
  <si>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</si>
  <si>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</si>
  <si>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</si>
  <si>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</si>
  <si>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</si>
  <si>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</si>
  <si>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</si>
  <si>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</si>
  <si>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</si>
  <si>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</si>
  <si>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</si>
  <si>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</si>
  <si>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</si>
  <si>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</si>
  <si>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</si>
  <si>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</si>
  <si>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</si>
  <si>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</si>
  <si>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</si>
  <si>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</si>
  <si>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</si>
  <si>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</si>
  <si>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</si>
  <si>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</si>
  <si>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</si>
  <si>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</si>
  <si>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</si>
  <si>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</si>
  <si>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</si>
  <si>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</si>
  <si>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</si>
  <si>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</si>
  <si>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</si>
  <si>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</si>
  <si>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</si>
  <si>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</si>
  <si>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</si>
  <si>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</si>
  <si>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</si>
  <si>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</si>
  <si>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</si>
  <si>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</si>
  <si>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</si>
  <si>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</si>
  <si>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</si>
  <si>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</si>
  <si>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</si>
  <si>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</si>
  <si>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</si>
  <si>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</si>
  <si>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</si>
  <si>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</si>
  <si>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</si>
  <si>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</si>
  <si>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</si>
  <si>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</si>
  <si>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</si>
  <si>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</si>
  <si>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</si>
  <si>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</si>
  <si>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</si>
  <si>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</si>
  <si>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</si>
  <si>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</si>
  <si>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</si>
  <si>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</si>
  <si>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</si>
  <si>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</si>
  <si>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</si>
  <si>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</si>
  <si>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</si>
  <si>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</si>
  <si>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</si>
  <si>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</si>
  <si>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</si>
  <si>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</si>
  <si>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</si>
  <si>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</si>
  <si>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</si>
  <si>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</si>
  <si>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</si>
  <si>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</si>
  <si>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</si>
  <si>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</si>
  <si>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</si>
  <si>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</si>
  <si>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</si>
  <si>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</si>
  <si>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</si>
  <si>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</si>
  <si>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</si>
  <si>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</si>
  <si>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</si>
  <si>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</si>
  <si>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</si>
  <si>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</si>
  <si>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</si>
  <si>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</si>
  <si>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</si>
  <si>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</si>
  <si>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</si>
  <si>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</si>
  <si>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</si>
  <si>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</si>
  <si>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</si>
  <si>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</si>
  <si>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</si>
  <si>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</si>
  <si>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</si>
  <si>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</si>
  <si>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</si>
  <si>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</si>
  <si>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</si>
  <si>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</si>
  <si>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</si>
  <si>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</si>
  <si>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</si>
  <si>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</si>
  <si>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</si>
  <si>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</si>
  <si>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</si>
  <si>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</si>
  <si>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</si>
  <si>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</si>
  <si>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</si>
  <si>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</si>
  <si>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</si>
  <si>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</si>
  <si>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</si>
  <si>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</si>
  <si>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</si>
  <si>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</si>
  <si>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</si>
  <si>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</si>
  <si>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</si>
  <si>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</si>
  <si>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</si>
  <si>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</si>
  <si>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</si>
  <si>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</si>
  <si>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</si>
  <si>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</si>
  <si>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</si>
  <si>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</si>
  <si>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</si>
  <si>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</si>
  <si>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</si>
  <si>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</si>
  <si>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</si>
  <si>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</si>
  <si>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</si>
  <si>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</si>
  <si>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</si>
  <si>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</si>
  <si>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</si>
  <si>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</si>
  <si>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</si>
  <si>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</si>
  <si>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</si>
  <si>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</si>
  <si>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</si>
  <si>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</si>
  <si>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</si>
  <si>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</si>
  <si>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</si>
  <si>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</si>
  <si>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</si>
  <si>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</si>
  <si>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</si>
  <si>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</si>
  <si>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</si>
  <si>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</si>
  <si>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</si>
  <si>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</si>
  <si>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</si>
  <si>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</si>
  <si>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</si>
  <si>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</si>
  <si>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</si>
  <si>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</si>
  <si>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</si>
  <si>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</si>
  <si>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</si>
  <si>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</si>
  <si>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</si>
  <si>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</si>
  <si>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</si>
  <si>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</si>
  <si>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</si>
  <si>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</si>
  <si>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</si>
  <si>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</si>
  <si>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</si>
  <si>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</si>
  <si>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</si>
  <si>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</si>
  <si>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</si>
  <si>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</si>
  <si>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</si>
  <si>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</si>
  <si>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</si>
  <si>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</si>
  <si>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</si>
  <si>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</si>
  <si>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</si>
  <si>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</si>
  <si>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</si>
  <si>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</si>
  <si>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</si>
  <si>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</si>
  <si>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</si>
  <si>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</si>
  <si>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</si>
  <si>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</si>
  <si>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</si>
  <si>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</si>
  <si>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</si>
  <si>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</si>
  <si>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</si>
  <si>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</si>
  <si>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</si>
  <si>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</si>
  <si>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</si>
  <si>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</si>
  <si>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</si>
  <si>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</si>
  <si>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</si>
  <si>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</si>
  <si>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</si>
  <si>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</si>
  <si>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</si>
  <si>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</si>
  <si>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</si>
  <si>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</si>
  <si>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</si>
  <si>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</si>
  <si>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</si>
  <si>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</si>
  <si>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</si>
  <si>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</si>
  <si>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</si>
  <si>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</si>
  <si>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</si>
  <si>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</si>
  <si>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</si>
  <si>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</si>
  <si>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</si>
  <si>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</si>
  <si>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</si>
  <si>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</si>
  <si>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</si>
  <si>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</si>
  <si>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</si>
  <si>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</si>
  <si>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</si>
  <si>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</si>
  <si>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</si>
  <si>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</si>
  <si>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</si>
  <si>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</si>
  <si>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</si>
  <si>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</si>
  <si>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</si>
  <si>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</si>
  <si>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</si>
  <si>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</si>
  <si>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</si>
  <si>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</si>
  <si>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</si>
  <si>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</si>
  <si>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</si>
  <si>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</si>
  <si>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</si>
  <si>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</si>
  <si>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</si>
  <si>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</si>
  <si>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</si>
  <si>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</si>
  <si>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</si>
  <si>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</si>
  <si>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</si>
  <si>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</si>
  <si>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</si>
  <si>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</si>
  <si>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</si>
  <si>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</si>
  <si>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</si>
  <si>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</si>
  <si>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</si>
  <si>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</si>
  <si>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</si>
  <si>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</si>
  <si>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</si>
  <si>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</si>
  <si>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</si>
  <si>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</si>
  <si>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</si>
  <si>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</si>
  <si>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</si>
  <si>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</si>
  <si>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</si>
  <si>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</si>
  <si>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</si>
  <si>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</si>
  <si>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</si>
  <si>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</si>
  <si>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</si>
  <si>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</si>
  <si>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</si>
  <si>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</si>
  <si>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</si>
  <si>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</si>
  <si>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</si>
  <si>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</si>
  <si>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</si>
  <si>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</si>
  <si>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</si>
  <si>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</si>
  <si>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</si>
  <si>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</si>
  <si>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</si>
  <si>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</si>
  <si>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</si>
  <si>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</si>
  <si>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</si>
  <si>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</si>
  <si>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</si>
  <si>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</si>
  <si>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</si>
  <si>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</si>
  <si>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</si>
  <si>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</si>
  <si>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</si>
  <si>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</si>
  <si>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</si>
  <si>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</si>
  <si>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</si>
  <si>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</si>
  <si>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</si>
  <si>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</si>
  <si>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</si>
  <si>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</si>
  <si>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</si>
  <si>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</si>
  <si>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</si>
  <si>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</si>
  <si>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</si>
  <si>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</si>
  <si>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</si>
  <si>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</si>
  <si>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</si>
  <si>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</si>
  <si>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</si>
  <si>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</si>
  <si>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</si>
  <si>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</si>
  <si>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</si>
  <si>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</si>
  <si>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</si>
  <si>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</si>
  <si>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</si>
  <si>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</si>
  <si>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</si>
  <si>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</si>
  <si>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</si>
  <si>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</si>
  <si>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</si>
  <si>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</si>
  <si>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</si>
  <si>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</si>
  <si>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</si>
  <si>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</si>
  <si>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</si>
  <si>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</si>
  <si>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</si>
  <si>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</si>
  <si>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</si>
  <si>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</si>
  <si>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</si>
  <si>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</si>
  <si>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</si>
  <si>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</si>
  <si>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</si>
  <si>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</si>
  <si>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</si>
  <si>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</si>
  <si>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</si>
  <si>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</si>
  <si>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</si>
  <si>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</si>
  <si>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</si>
  <si>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</si>
  <si>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</si>
  <si>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</si>
  <si>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</si>
  <si>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</si>
  <si>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</si>
  <si>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</si>
  <si>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</si>
  <si>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</si>
  <si>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</si>
  <si>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</si>
  <si>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</si>
  <si>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</si>
  <si>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</si>
  <si>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</si>
  <si>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</si>
  <si>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</si>
  <si>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</si>
  <si>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</si>
  <si>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</si>
  <si>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</si>
  <si>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</si>
  <si>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</si>
  <si>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</si>
  <si>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</si>
  <si>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</si>
  <si>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</si>
  <si>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</si>
  <si>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</si>
  <si>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</si>
  <si>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</si>
  <si>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</si>
  <si>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</si>
  <si>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</si>
  <si>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</si>
  <si>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</si>
  <si>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</si>
  <si>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</si>
  <si>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</si>
  <si>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</si>
  <si>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</si>
  <si>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</si>
  <si>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</si>
  <si>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</si>
  <si>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</si>
  <si>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</si>
  <si>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</si>
  <si>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</si>
  <si>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</si>
  <si>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</si>
  <si>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</si>
  <si>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</si>
  <si>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</si>
  <si>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</si>
  <si>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</si>
  <si>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</si>
  <si>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</si>
  <si>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</si>
  <si>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</si>
  <si>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</si>
  <si>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</si>
  <si>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</si>
  <si>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</si>
  <si>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</si>
  <si>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</si>
  <si>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</si>
  <si>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</si>
  <si>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</si>
  <si>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</si>
  <si>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</si>
  <si>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</si>
  <si>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</si>
  <si>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</si>
  <si>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</si>
  <si>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</si>
  <si>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</si>
  <si>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</si>
  <si>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</si>
  <si>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</si>
  <si>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</si>
  <si>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</si>
  <si>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</si>
  <si>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</si>
  <si>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</si>
  <si>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</si>
  <si>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</si>
  <si>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</si>
  <si>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</si>
  <si>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</si>
  <si>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</si>
  <si>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</si>
  <si>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</si>
  <si>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</si>
  <si>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</si>
  <si>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</si>
  <si>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</si>
  <si>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</si>
  <si>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</si>
  <si>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</si>
  <si>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</si>
  <si>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</si>
  <si>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</si>
  <si>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</si>
  <si>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</si>
  <si>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</si>
  <si>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</si>
  <si>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</si>
  <si>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</si>
  <si>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</si>
  <si>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</si>
  <si>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</si>
  <si>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</si>
  <si>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</si>
  <si>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</si>
  <si>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</si>
  <si>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</si>
  <si>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</si>
  <si>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</si>
  <si>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</si>
  <si>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</si>
  <si>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</si>
  <si>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</si>
  <si>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</si>
  <si>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</si>
  <si>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</si>
  <si>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</si>
  <si>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</si>
  <si>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</si>
  <si>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</si>
  <si>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</si>
  <si>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</si>
  <si>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</si>
  <si>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</si>
  <si>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</si>
  <si>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</si>
  <si>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</si>
  <si>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</si>
  <si>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</si>
  <si>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</si>
  <si>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</si>
  <si>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</si>
  <si>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</si>
  <si>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</si>
  <si>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</si>
  <si>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</si>
  <si>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</si>
  <si>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</si>
  <si>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</si>
  <si>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</si>
  <si>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</si>
  <si>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</si>
  <si>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</si>
  <si>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</si>
  <si>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</si>
  <si>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</si>
  <si>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</si>
  <si>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</si>
  <si>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</si>
  <si>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</si>
  <si>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</si>
  <si>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</si>
  <si>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</si>
  <si>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</si>
  <si>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</si>
  <si>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</si>
  <si>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</si>
  <si>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</si>
  <si>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</si>
  <si>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</si>
  <si>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</si>
  <si>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</si>
  <si>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</si>
  <si>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</si>
  <si>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</si>
  <si>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</si>
  <si>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</si>
  <si>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</si>
  <si>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</si>
  <si>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</si>
  <si>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</si>
  <si>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</si>
  <si>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</si>
  <si>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</si>
  <si>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</si>
  <si>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</si>
  <si>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</si>
  <si>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</si>
  <si>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</si>
  <si>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</si>
  <si>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</si>
  <si>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</si>
  <si>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</si>
  <si>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</si>
  <si>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</si>
  <si>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</si>
  <si>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</si>
  <si>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</si>
  <si>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</si>
  <si>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</si>
  <si>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</si>
  <si>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</si>
  <si>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</si>
  <si>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</si>
  <si>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</si>
  <si>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</si>
  <si>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</si>
  <si>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</si>
  <si>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</si>
  <si>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</si>
  <si>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</si>
  <si>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</si>
  <si>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</si>
  <si>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</si>
  <si>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</si>
  <si>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</si>
  <si>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</si>
  <si>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</si>
  <si>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</si>
  <si>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</si>
  <si>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</si>
  <si>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</si>
  <si>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</si>
  <si>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</si>
  <si>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</si>
  <si>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</si>
  <si>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</si>
  <si>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</si>
  <si>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</si>
  <si>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</si>
  <si>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</si>
  <si>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</si>
  <si>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</si>
  <si>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</si>
  <si>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</si>
  <si>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</si>
  <si>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</si>
  <si>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</si>
  <si>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</si>
  <si>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</si>
  <si>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</si>
  <si>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</si>
  <si>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</si>
  <si>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</si>
  <si>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</si>
  <si>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</si>
  <si>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</si>
  <si>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</si>
  <si>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</si>
  <si>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</si>
  <si>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</si>
  <si>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</si>
  <si>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</si>
  <si>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</si>
  <si>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</si>
  <si>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</si>
  <si>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</si>
  <si>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</si>
  <si>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</si>
  <si>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</si>
  <si>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</si>
  <si>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</si>
  <si>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</si>
  <si>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</si>
  <si>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</si>
  <si>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</si>
  <si>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</si>
  <si>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</si>
  <si>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</si>
  <si>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</si>
  <si>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</si>
  <si>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</si>
  <si>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</si>
  <si>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</si>
  <si>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</si>
  <si>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</si>
  <si>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</si>
  <si>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</si>
  <si>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</si>
  <si>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</si>
  <si>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</si>
  <si>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</si>
  <si>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</si>
  <si>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</si>
  <si>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</si>
  <si>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</si>
  <si>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</si>
  <si>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</si>
  <si>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</si>
  <si>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</si>
  <si>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</si>
  <si>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</si>
  <si>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</si>
  <si>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</si>
  <si>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</si>
  <si>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</si>
  <si>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</si>
  <si>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</si>
  <si>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</si>
  <si>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</si>
  <si>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</si>
  <si>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</si>
  <si>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</si>
  <si>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</si>
  <si>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</si>
  <si>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</si>
  <si>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</si>
  <si>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</si>
  <si>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</si>
  <si>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</si>
  <si>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</si>
  <si>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</si>
  <si>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</si>
  <si>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</si>
  <si>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</si>
  <si>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</si>
  <si>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</si>
  <si>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</si>
  <si>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</si>
  <si>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</si>
  <si>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</si>
  <si>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</si>
  <si>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</si>
  <si>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</si>
  <si>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</si>
  <si>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</si>
  <si>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</si>
  <si>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</si>
  <si>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</si>
  <si>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</si>
  <si>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</si>
  <si>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</si>
  <si>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</si>
  <si>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</si>
  <si>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</si>
  <si>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</si>
  <si>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</si>
  <si>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</si>
  <si>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</si>
  <si>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</si>
  <si>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</si>
  <si>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</si>
  <si>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</si>
  <si>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</si>
  <si>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</si>
  <si>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</si>
  <si>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</si>
  <si>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</si>
  <si>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</si>
  <si>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</si>
  <si>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</si>
  <si>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</si>
  <si>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</si>
  <si>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</si>
  <si>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</si>
  <si>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</si>
  <si>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</si>
  <si>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</si>
  <si>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</si>
  <si>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</si>
  <si>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</si>
  <si>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</si>
  <si>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</si>
  <si>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</si>
  <si>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</si>
  <si>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</si>
  <si>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</si>
  <si>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</si>
  <si>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</si>
  <si>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</si>
  <si>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</si>
  <si>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</si>
  <si>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</si>
  <si>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</si>
  <si>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</si>
  <si>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</si>
  <si>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</si>
  <si>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</si>
  <si>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</si>
  <si>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</si>
  <si>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</si>
  <si>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</si>
  <si>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</si>
  <si>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</si>
  <si>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</si>
  <si>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</si>
  <si>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</si>
  <si>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</si>
  <si>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</si>
  <si>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</si>
  <si>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</si>
  <si>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</si>
  <si>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</si>
  <si>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</si>
  <si>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</si>
  <si>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</si>
  <si>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</si>
  <si>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</si>
  <si>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</si>
  <si>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</si>
  <si>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</si>
  <si>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</si>
  <si>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</si>
  <si>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</si>
  <si>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</si>
  <si>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</si>
  <si>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</si>
  <si>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</si>
  <si>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</si>
  <si>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</si>
  <si>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</si>
  <si>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</si>
  <si>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</si>
  <si>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</si>
  <si>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</si>
  <si>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</si>
  <si>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</si>
  <si>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</si>
  <si>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</si>
  <si>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</si>
  <si>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</si>
  <si>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</si>
  <si>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</si>
  <si>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</si>
  <si>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</si>
  <si>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</si>
  <si>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</si>
  <si>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</si>
  <si>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</si>
  <si>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</si>
  <si>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</si>
  <si>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</si>
  <si>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</si>
  <si>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</si>
  <si>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</si>
  <si>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</si>
  <si>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</si>
  <si>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</si>
  <si>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</si>
  <si>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</si>
  <si>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</si>
  <si>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</si>
  <si>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</si>
  <si>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</si>
  <si>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</si>
  <si>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</si>
  <si>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</si>
  <si>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</si>
  <si>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</si>
  <si>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</si>
  <si>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</si>
  <si>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</si>
  <si>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</si>
  <si>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</si>
  <si>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</si>
  <si>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</si>
  <si>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</si>
  <si>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</si>
  <si>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</si>
  <si>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</si>
  <si>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</si>
  <si>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</si>
  <si>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</si>
  <si>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</si>
  <si>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</si>
  <si>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</si>
  <si>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</si>
  <si>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</si>
  <si>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</si>
  <si>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</si>
  <si>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</si>
  <si>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</si>
  <si>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</si>
  <si>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</si>
  <si>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</si>
  <si>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</si>
  <si>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</si>
  <si>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</si>
  <si>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</si>
  <si>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</si>
  <si>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</si>
  <si>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</si>
  <si>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</si>
  <si>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</si>
  <si>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</si>
  <si>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</si>
  <si>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</si>
  <si>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</si>
  <si>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</si>
  <si>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</si>
  <si>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</si>
  <si>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</si>
  <si>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</si>
  <si>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</si>
  <si>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</si>
  <si>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</si>
  <si>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</si>
  <si>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</si>
  <si>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</si>
  <si>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</si>
  <si>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</si>
  <si>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</si>
  <si>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</si>
  <si>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</si>
  <si>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</si>
  <si>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</si>
  <si>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</si>
  <si>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</si>
  <si>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</si>
  <si>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</si>
  <si>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</si>
  <si>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</si>
  <si>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</si>
  <si>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</si>
  <si>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</si>
  <si>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</si>
  <si>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</si>
  <si>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</si>
  <si>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</si>
  <si>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</si>
  <si>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</si>
  <si>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</si>
  <si>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</si>
  <si>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</si>
  <si>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</si>
  <si>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</si>
  <si>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</si>
  <si>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</si>
  <si>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</si>
  <si>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</si>
  <si>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</si>
  <si>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</si>
  <si>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</si>
  <si>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</si>
  <si>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</si>
  <si>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</si>
  <si>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</si>
  <si>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</si>
  <si>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</si>
  <si>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</si>
  <si>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</si>
  <si>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</si>
  <si>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</si>
  <si>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</si>
  <si>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</si>
  <si>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</si>
  <si>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</si>
  <si>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</si>
  <si>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</si>
  <si>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</si>
  <si>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</si>
  <si>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</si>
  <si>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</si>
  <si>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</si>
  <si>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</si>
  <si>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</si>
  <si>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</si>
  <si>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</si>
  <si>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</si>
  <si>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</si>
  <si>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</si>
  <si>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</si>
  <si>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</si>
  <si>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</si>
  <si>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</si>
  <si>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</si>
  <si>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</si>
  <si>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</si>
  <si>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</si>
  <si>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</si>
  <si>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</si>
  <si>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</si>
  <si>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</si>
  <si>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</si>
  <si>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</si>
  <si>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</si>
  <si>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</si>
  <si>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</si>
  <si>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</si>
  <si>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</si>
  <si>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</si>
  <si>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</si>
  <si>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</si>
  <si>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</si>
  <si>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</si>
  <si>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</si>
  <si>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</si>
  <si>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</si>
  <si>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</si>
  <si>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</si>
  <si>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</si>
  <si>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</si>
  <si>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</si>
  <si>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</si>
  <si>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</si>
  <si>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</si>
  <si>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</si>
  <si>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</si>
  <si>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</si>
  <si>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</si>
  <si>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</si>
  <si>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</si>
  <si>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</si>
  <si>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</si>
  <si>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</si>
  <si>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</si>
  <si>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</si>
  <si>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</si>
  <si>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</si>
  <si>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</si>
  <si>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</si>
  <si>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</si>
  <si>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</si>
  <si>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</si>
  <si>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</si>
  <si>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</si>
  <si>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</si>
  <si>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</si>
  <si>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</si>
  <si>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</si>
  <si>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</si>
  <si>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</si>
  <si>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</si>
  <si>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</si>
  <si>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</si>
  <si>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</si>
  <si>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</si>
  <si>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</si>
  <si>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</si>
  <si>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</si>
  <si>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</si>
  <si>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</si>
  <si>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</si>
  <si>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</si>
  <si>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</si>
  <si>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</si>
  <si>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</si>
  <si>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</si>
  <si>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</si>
  <si>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</si>
  <si>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</si>
  <si>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</si>
  <si>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</si>
  <si>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</si>
  <si>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</si>
  <si>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</si>
  <si>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</si>
  <si>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</si>
  <si>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</si>
  <si>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</si>
  <si>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</si>
  <si>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</si>
  <si>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</si>
  <si>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</si>
  <si>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</si>
  <si>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</si>
  <si>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</si>
  <si>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</si>
  <si>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</si>
  <si>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</si>
  <si>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</si>
  <si>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</si>
  <si>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</si>
  <si>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</si>
  <si>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</si>
  <si>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</si>
  <si>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</si>
  <si>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</si>
  <si>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</si>
  <si>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</si>
  <si>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</si>
  <si>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</si>
  <si>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</si>
  <si>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</si>
  <si>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</si>
  <si>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</si>
  <si>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</si>
  <si>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</si>
  <si>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</si>
  <si>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</si>
  <si>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</si>
  <si>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</si>
  <si>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</si>
  <si>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</si>
  <si>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</si>
  <si>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</si>
  <si>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</si>
  <si>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</si>
  <si>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</si>
  <si>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</si>
  <si>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</si>
  <si>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</si>
  <si>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</si>
  <si>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</si>
  <si>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</si>
  <si>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</si>
  <si>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</si>
  <si>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</si>
  <si>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</si>
  <si>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</si>
  <si>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</si>
  <si>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</si>
  <si>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</si>
  <si>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</si>
  <si>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</si>
  <si>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</si>
  <si>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</si>
  <si>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</si>
  <si>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</si>
  <si>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</si>
  <si>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</si>
  <si>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</si>
  <si>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</si>
  <si>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</si>
  <si>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</si>
  <si>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</si>
  <si>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</si>
  <si>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</si>
  <si>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</si>
  <si>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</si>
  <si>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</si>
  <si>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</si>
  <si>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</si>
  <si>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</si>
  <si>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</si>
  <si>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</si>
  <si>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</si>
  <si>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</si>
  <si>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</si>
  <si>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</si>
  <si>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</si>
  <si>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</si>
  <si>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</si>
  <si>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</si>
  <si>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</si>
  <si>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</si>
  <si>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</si>
  <si>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</si>
  <si>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</si>
  <si>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</si>
  <si>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</si>
  <si>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</si>
  <si>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</si>
  <si>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</si>
  <si>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</si>
  <si>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</si>
  <si>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</si>
  <si>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</si>
  <si>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</si>
  <si>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</si>
  <si>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</si>
  <si>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</si>
  <si>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</si>
  <si>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</si>
  <si>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</si>
  <si>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</si>
  <si>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</si>
  <si>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</si>
  <si>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</si>
  <si>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</si>
  <si>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</si>
  <si>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</si>
  <si>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</si>
  <si>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</si>
  <si>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</si>
  <si>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</si>
  <si>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</si>
  <si>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</si>
  <si>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</si>
  <si>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</si>
  <si>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</si>
  <si>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</si>
  <si>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</si>
  <si>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</si>
  <si>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</si>
  <si>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</si>
  <si>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</si>
  <si>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</si>
  <si>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</si>
  <si>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</si>
  <si>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</si>
  <si>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</si>
  <si>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</si>
  <si>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</si>
  <si>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</si>
  <si>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</si>
  <si>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</si>
  <si>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</si>
  <si>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</si>
  <si>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</si>
  <si>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</si>
  <si>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</si>
  <si>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</si>
  <si>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</si>
  <si>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</si>
  <si>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</si>
  <si>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</si>
  <si>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</si>
  <si>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</si>
  <si>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</si>
  <si>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</si>
  <si>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</si>
  <si>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</si>
  <si>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</si>
  <si>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</si>
  <si>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</si>
  <si>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</si>
  <si>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</si>
  <si>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</si>
  <si>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</si>
  <si>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</si>
  <si>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</si>
  <si>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</si>
  <si>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</si>
  <si>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</si>
  <si>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</si>
  <si>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</si>
  <si>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</si>
  <si>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</si>
  <si>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</si>
  <si>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</si>
  <si>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</si>
  <si>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</si>
  <si>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</si>
  <si>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</si>
  <si>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</si>
  <si>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</si>
  <si>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</si>
  <si>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</si>
  <si>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</si>
  <si>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</si>
  <si>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</si>
  <si>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</si>
  <si>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</si>
  <si>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</si>
  <si>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</si>
  <si>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</si>
  <si>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</si>
  <si>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</si>
  <si>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</si>
  <si>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</si>
  <si>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</si>
  <si>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</si>
  <si>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</si>
  <si>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</si>
  <si>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</si>
  <si>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</si>
  <si>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</si>
  <si>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</si>
  <si>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</si>
  <si>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</si>
  <si>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</si>
  <si>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</si>
  <si>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</si>
  <si>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</si>
  <si>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</si>
  <si>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</si>
  <si>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</si>
  <si>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</si>
  <si>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</si>
  <si>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</si>
  <si>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</si>
  <si>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</si>
  <si>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</si>
  <si>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</si>
  <si>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</si>
  <si>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</si>
  <si>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</si>
  <si>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</si>
  <si>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</si>
  <si>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</si>
  <si>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</si>
  <si>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</si>
  <si>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</si>
  <si>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</si>
  <si>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</si>
  <si>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</si>
  <si>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</si>
  <si>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</si>
  <si>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</si>
  <si>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</si>
  <si>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</si>
  <si>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</si>
  <si>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</si>
  <si>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</si>
  <si>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</si>
  <si>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</si>
  <si>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</si>
  <si>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</si>
  <si>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</si>
  <si>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</si>
  <si>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</si>
  <si>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</si>
  <si>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</si>
  <si>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</si>
  <si>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</si>
  <si>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</si>
  <si>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</si>
  <si>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</si>
  <si>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</si>
  <si>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</si>
  <si>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</si>
  <si>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</si>
  <si>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</si>
  <si>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</si>
  <si>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</si>
  <si>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</si>
  <si>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</si>
  <si>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</si>
  <si>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</si>
  <si>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</si>
  <si>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</si>
  <si>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</si>
  <si>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</si>
  <si>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</si>
  <si>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</si>
  <si>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</si>
  <si>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</si>
  <si>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</si>
  <si>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</si>
  <si>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</si>
  <si>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</si>
  <si>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</si>
  <si>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</si>
  <si>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</si>
  <si>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</si>
  <si>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</si>
  <si>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</si>
  <si>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</si>
  <si>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</si>
  <si>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</si>
  <si>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</si>
  <si>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</si>
  <si>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</si>
  <si>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</si>
  <si>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</si>
  <si>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</si>
  <si>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</si>
  <si>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</si>
  <si>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</si>
  <si>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</si>
  <si>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</si>
  <si>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</si>
  <si>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</si>
  <si>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</si>
  <si>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</si>
  <si>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</si>
  <si>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</si>
  <si>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</si>
  <si>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</si>
  <si>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</si>
  <si>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</si>
  <si>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</si>
  <si>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</si>
  <si>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</si>
  <si>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</si>
  <si>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</si>
  <si>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</si>
  <si>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</si>
  <si>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</si>
  <si>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</si>
  <si>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</si>
  <si>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</si>
  <si>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</si>
  <si>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</si>
  <si>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</si>
  <si>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</si>
  <si>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</si>
  <si>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</si>
  <si>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</si>
  <si>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</si>
  <si>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</si>
  <si>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</si>
  <si>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</si>
  <si>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</si>
  <si>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</si>
  <si>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</si>
  <si>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</si>
  <si>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</si>
  <si>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</si>
  <si>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</si>
  <si>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</si>
  <si>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</si>
  <si>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</si>
  <si>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</si>
  <si>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</si>
  <si>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</si>
  <si>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</si>
  <si>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</si>
  <si>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</si>
  <si>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</si>
  <si>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</si>
  <si>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</si>
  <si>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</si>
  <si>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</si>
  <si>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</si>
  <si>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</si>
  <si>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</si>
  <si>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</si>
  <si>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</si>
  <si>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</si>
  <si>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</si>
  <si>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</si>
  <si>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</si>
  <si>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</si>
  <si>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</si>
  <si>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</si>
  <si>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</si>
  <si>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</si>
  <si>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</si>
  <si>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</si>
  <si>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</si>
  <si>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</si>
  <si>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</si>
  <si>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</si>
  <si>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</si>
  <si>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</si>
  <si>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</si>
  <si>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</si>
  <si>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</si>
  <si>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</si>
  <si>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</si>
  <si>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</si>
  <si>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</si>
  <si>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</si>
  <si>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</si>
  <si>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</si>
  <si>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</si>
  <si>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</si>
  <si>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</si>
  <si>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</si>
  <si>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</si>
  <si>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</si>
  <si>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</si>
  <si>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</si>
  <si>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</si>
  <si>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</si>
  <si>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</si>
  <si>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</si>
  <si>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</si>
  <si>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</si>
  <si>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</si>
  <si>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</si>
  <si>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</si>
  <si>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</si>
  <si>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</si>
  <si>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</si>
  <si>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</si>
  <si>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</si>
  <si>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</si>
  <si>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</si>
  <si>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</si>
  <si>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</si>
  <si>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</si>
  <si>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</si>
  <si>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</si>
  <si>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</si>
  <si>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</si>
  <si>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</si>
  <si>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</si>
  <si>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</si>
  <si>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</si>
  <si>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</si>
  <si>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</si>
  <si>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</si>
  <si>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</si>
  <si>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</si>
  <si>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</si>
  <si>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</si>
  <si>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</si>
  <si>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</si>
  <si>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</si>
  <si>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</si>
  <si>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</si>
  <si>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</si>
  <si>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</si>
  <si>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</si>
  <si>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</si>
  <si>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</si>
  <si>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</si>
  <si>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</si>
  <si>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</si>
  <si>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</si>
  <si>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</si>
  <si>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</si>
  <si>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</si>
  <si>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</si>
  <si>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</si>
  <si>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</si>
  <si>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</si>
  <si>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</si>
  <si>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</si>
  <si>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</si>
  <si>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</si>
  <si>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</si>
  <si>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</si>
  <si>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</si>
  <si>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</si>
  <si>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</si>
  <si>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</si>
  <si>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</si>
  <si>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</si>
  <si>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</si>
  <si>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</si>
  <si>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</si>
  <si>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</si>
  <si>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</si>
  <si>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</si>
  <si>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</si>
  <si>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</si>
  <si>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</si>
  <si>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</si>
  <si>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</si>
  <si>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</si>
  <si>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</si>
  <si>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</si>
  <si>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</si>
  <si>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</si>
  <si>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</si>
  <si>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</si>
  <si>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</si>
  <si>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</si>
  <si>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</si>
  <si>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</si>
  <si>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</si>
  <si>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</si>
  <si>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</si>
  <si>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</si>
  <si>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</si>
  <si>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</si>
  <si>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</si>
  <si>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</si>
  <si>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</si>
  <si>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</si>
  <si>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</si>
  <si>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</si>
  <si>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</si>
  <si>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</si>
  <si>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</si>
  <si>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</si>
  <si>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</si>
  <si>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</si>
  <si>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</si>
  <si>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</si>
  <si>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</si>
  <si>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</si>
  <si>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</si>
  <si>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</si>
  <si>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</si>
  <si>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</si>
  <si>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</si>
  <si>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</si>
  <si>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</si>
  <si>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</si>
  <si>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</si>
  <si>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</si>
  <si>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</si>
  <si>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</si>
  <si>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</si>
  <si>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</si>
  <si>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</si>
  <si>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</si>
  <si>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</si>
  <si>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</si>
  <si>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</si>
  <si>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</si>
  <si>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</si>
  <si>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</si>
  <si>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</si>
  <si>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</si>
  <si>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</si>
  <si>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</si>
  <si>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</si>
  <si>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</si>
  <si>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</si>
  <si>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</si>
  <si>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</si>
  <si>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</si>
  <si>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</si>
  <si>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</si>
  <si>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</si>
  <si>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</si>
  <si>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</si>
  <si>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</si>
  <si>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</si>
  <si>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</si>
  <si>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</si>
  <si>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</si>
  <si>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</si>
  <si>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</si>
  <si>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</si>
  <si>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</si>
  <si>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</si>
  <si>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</si>
  <si>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</si>
  <si>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</si>
  <si>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</si>
  <si>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</si>
  <si>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</si>
  <si>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</si>
  <si>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</si>
  <si>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</si>
  <si>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</si>
  <si>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</si>
  <si>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</si>
  <si>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</si>
  <si>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</si>
  <si>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</si>
  <si>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</si>
  <si>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</si>
  <si>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</si>
  <si>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</si>
  <si>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</si>
  <si>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</si>
  <si>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</si>
  <si>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</si>
  <si>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</si>
  <si>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</si>
  <si>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</si>
  <si>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</si>
  <si>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</si>
  <si>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</si>
  <si>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</si>
  <si>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</si>
  <si>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</si>
  <si>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</si>
  <si>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</si>
  <si>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</si>
  <si>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</si>
  <si>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</si>
  <si>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</si>
  <si>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</si>
  <si>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</si>
  <si>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</si>
  <si>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</si>
  <si>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</si>
  <si>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</si>
  <si>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</si>
  <si>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</si>
  <si>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</si>
  <si>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</si>
  <si>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</si>
  <si>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</si>
  <si>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</si>
  <si>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</si>
  <si>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</si>
  <si>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</si>
  <si>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</si>
  <si>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</si>
  <si>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</si>
  <si>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</si>
  <si>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</si>
  <si>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</si>
  <si>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</si>
  <si>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</si>
  <si>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</si>
  <si>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</si>
  <si>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</si>
  <si>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</si>
  <si>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</si>
  <si>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</si>
  <si>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</si>
  <si>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</si>
  <si>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</si>
  <si>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</si>
  <si>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</si>
  <si>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</si>
  <si>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</si>
  <si>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</si>
  <si>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</si>
  <si>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</si>
  <si>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</si>
  <si>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</si>
  <si>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</si>
  <si>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</si>
  <si>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</si>
  <si>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</si>
  <si>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</si>
  <si>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</si>
  <si>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</si>
  <si>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</si>
  <si>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</si>
  <si>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</si>
  <si>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</si>
  <si>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</si>
  <si>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</si>
  <si>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</si>
  <si>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</si>
  <si>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</si>
  <si>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</si>
  <si>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</si>
  <si>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</si>
  <si>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</si>
  <si>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</si>
  <si>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</si>
  <si>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</si>
  <si>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</si>
  <si>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</si>
  <si>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</si>
  <si>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</si>
  <si>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</si>
  <si>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</si>
  <si>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</si>
  <si>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</si>
  <si>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</si>
  <si>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</si>
  <si>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</si>
  <si>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</si>
  <si>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</si>
  <si>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</si>
  <si>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</si>
  <si>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</si>
  <si>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</si>
  <si>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</si>
  <si>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</si>
  <si>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</si>
  <si>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</si>
  <si>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</si>
  <si>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</si>
  <si>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</si>
  <si>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</si>
  <si>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</si>
  <si>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</si>
  <si>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</si>
  <si>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</si>
  <si>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</si>
  <si>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</si>
  <si>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</si>
  <si>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</si>
  <si>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</si>
  <si>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</si>
  <si>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</si>
  <si>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</si>
  <si>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</si>
  <si>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</si>
  <si>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</si>
  <si>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</si>
  <si>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</si>
  <si>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</si>
  <si>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</si>
  <si>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</si>
  <si>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</si>
  <si>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</si>
  <si>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</si>
  <si>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</si>
  <si>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</si>
  <si>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</si>
  <si>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</si>
  <si>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</si>
  <si>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</si>
  <si>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</si>
  <si>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</si>
  <si>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</si>
  <si>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</si>
  <si>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</si>
  <si>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</si>
  <si>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</si>
  <si>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</si>
  <si>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</si>
  <si>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</si>
  <si>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</si>
  <si>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</si>
  <si>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</si>
  <si>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</si>
  <si>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</si>
  <si>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</si>
  <si>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</si>
  <si>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</si>
  <si>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</si>
  <si>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</si>
  <si>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</si>
  <si>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</si>
  <si>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</si>
  <si>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</si>
  <si>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</si>
  <si>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</si>
  <si>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</si>
  <si>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</si>
  <si>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</si>
  <si>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</si>
  <si>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</si>
  <si>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</si>
  <si>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</si>
  <si>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</si>
  <si>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</si>
  <si>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</si>
  <si>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</si>
  <si>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</si>
  <si>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</si>
  <si>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</si>
  <si>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</si>
  <si>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</si>
  <si>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</si>
  <si>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</si>
  <si>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</si>
  <si>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</si>
  <si>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</si>
  <si>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</si>
  <si>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</si>
  <si>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</si>
  <si>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</si>
  <si>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</si>
  <si>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</si>
  <si>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</si>
  <si>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</si>
  <si>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</si>
  <si>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</si>
  <si>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</si>
  <si>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</si>
  <si>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</si>
  <si>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</si>
  <si>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</si>
  <si>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</si>
  <si>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</si>
  <si>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</si>
  <si>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</si>
  <si>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</si>
  <si>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</si>
  <si>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</si>
  <si>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</si>
  <si>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</si>
  <si>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</si>
  <si>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</si>
  <si>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</si>
  <si>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</si>
  <si>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</si>
  <si>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</si>
  <si>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</si>
  <si>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</si>
  <si>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</si>
  <si>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</si>
  <si>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</si>
  <si>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</si>
  <si>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</si>
  <si>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</si>
  <si>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</si>
  <si>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</si>
  <si>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</si>
  <si>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</si>
  <si>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</si>
  <si>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</si>
  <si>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</si>
  <si>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</si>
  <si>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</si>
  <si>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</si>
  <si>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</si>
  <si>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</si>
  <si>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</si>
  <si>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</si>
  <si>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</si>
  <si>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</si>
  <si>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</si>
  <si>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</si>
  <si>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</si>
  <si>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</si>
  <si>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</si>
  <si>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</si>
  <si>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</si>
  <si>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</si>
  <si>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</si>
  <si>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</si>
  <si>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</si>
  <si>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</si>
  <si>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</si>
  <si>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</si>
  <si>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</si>
  <si>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</si>
  <si>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</si>
  <si>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</si>
  <si>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</si>
  <si>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</si>
  <si>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</si>
  <si>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</si>
  <si>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</si>
  <si>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</si>
  <si>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</si>
  <si>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</si>
  <si>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</si>
  <si>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</si>
  <si>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</si>
  <si>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</si>
  <si>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</si>
  <si>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</si>
  <si>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</si>
  <si>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</si>
  <si>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</si>
  <si>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</si>
  <si>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</si>
  <si>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</si>
  <si>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</si>
  <si>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</si>
  <si>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</si>
  <si>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</si>
  <si>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</si>
  <si>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</si>
  <si>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</si>
  <si>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</si>
  <si>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</si>
  <si>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</si>
  <si>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</si>
  <si>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</si>
  <si>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</si>
  <si>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</si>
  <si>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</si>
  <si>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</si>
  <si>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</si>
  <si>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</si>
  <si>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</si>
  <si>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</si>
  <si>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</si>
  <si>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</si>
  <si>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</si>
  <si>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</si>
  <si>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</si>
  <si>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</si>
  <si>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</si>
  <si>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</si>
  <si>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</si>
  <si>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</si>
  <si>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</si>
  <si>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</si>
  <si>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</si>
  <si>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</si>
  <si>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</si>
  <si>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</si>
  <si>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</si>
  <si>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</si>
  <si>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</si>
  <si>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</si>
  <si>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</si>
  <si>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</si>
  <si>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</si>
  <si>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</si>
  <si>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</si>
  <si>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</si>
  <si>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</si>
  <si>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</si>
  <si>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</si>
  <si>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</si>
  <si>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</si>
  <si>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</si>
  <si>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</si>
  <si>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</si>
  <si>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</si>
  <si>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</si>
  <si>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</si>
  <si>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</si>
  <si>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</si>
  <si>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</si>
  <si>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</si>
  <si>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</si>
  <si>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</si>
  <si>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</si>
  <si>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</si>
  <si>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</si>
  <si>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</si>
  <si>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</si>
  <si>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</si>
  <si>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</si>
  <si>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</si>
  <si>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</si>
  <si>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</si>
  <si>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</si>
  <si>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</si>
  <si>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</si>
  <si>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</si>
  <si>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</si>
  <si>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</si>
  <si>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</si>
  <si>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</si>
  <si>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</si>
  <si>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</si>
  <si>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</si>
  <si>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</si>
  <si>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</si>
  <si>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</si>
  <si>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</si>
  <si>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</si>
  <si>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</si>
  <si>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</si>
  <si>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</si>
  <si>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</si>
  <si>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</si>
  <si>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</si>
  <si>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</si>
  <si>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</si>
  <si>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</si>
  <si>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</si>
  <si>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</si>
  <si>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</si>
  <si>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</si>
  <si>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</si>
  <si>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</si>
  <si>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</si>
  <si>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</si>
  <si>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</si>
  <si>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</si>
  <si>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</si>
  <si>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</si>
  <si>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</si>
  <si>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</si>
  <si>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</si>
  <si>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</si>
  <si>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</si>
  <si>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</si>
  <si>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</si>
  <si>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</si>
  <si>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</si>
  <si>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</si>
  <si>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</si>
  <si>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</si>
  <si>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</si>
  <si>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</si>
  <si>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</si>
  <si>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</si>
  <si>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</si>
  <si>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</si>
  <si>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</si>
  <si>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</si>
  <si>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</si>
  <si>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</si>
  <si>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</si>
  <si>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</si>
  <si>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</si>
  <si>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</si>
  <si>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</si>
  <si>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</si>
  <si>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</si>
  <si>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</si>
  <si>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</si>
  <si>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</si>
  <si>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</si>
  <si>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</si>
  <si>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</si>
  <si>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</si>
  <si>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</si>
  <si>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</si>
  <si>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</si>
  <si>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</si>
  <si>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</si>
  <si>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</si>
  <si>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</si>
  <si>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</si>
  <si>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</si>
  <si>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</si>
  <si>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</si>
  <si>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</si>
  <si>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</si>
  <si>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</si>
  <si>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</si>
  <si>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</si>
  <si>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</si>
  <si>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</si>
  <si>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</si>
  <si>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</si>
  <si>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</si>
  <si>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</si>
  <si>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</si>
  <si>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</si>
  <si>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</si>
  <si>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</si>
  <si>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</si>
  <si>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</si>
  <si>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</si>
  <si>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</si>
  <si>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</si>
  <si>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</si>
  <si>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</si>
  <si>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</si>
  <si>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</si>
  <si>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</si>
  <si>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</si>
  <si>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</si>
  <si>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</si>
  <si>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</si>
  <si>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</si>
  <si>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</si>
  <si>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</si>
  <si>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</si>
  <si>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</si>
  <si>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</si>
  <si>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</si>
  <si>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</si>
  <si>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</si>
  <si>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</si>
  <si>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</si>
  <si>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</si>
  <si>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</si>
  <si>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</si>
  <si>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</si>
  <si>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</si>
  <si>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</si>
  <si>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</si>
  <si>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</si>
  <si>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</si>
  <si>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</si>
  <si>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</si>
  <si>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</si>
  <si>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</si>
  <si>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</si>
  <si>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</si>
  <si>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</si>
  <si>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</si>
  <si>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</si>
  <si>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</si>
  <si>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</si>
  <si>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</si>
  <si>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</si>
  <si>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</si>
  <si>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</si>
  <si>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</si>
  <si>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</si>
  <si>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</si>
  <si>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</si>
  <si>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</si>
  <si>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</si>
  <si>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</si>
  <si>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</si>
  <si>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</si>
  <si>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</si>
  <si>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</si>
  <si>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</si>
  <si>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</si>
  <si>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</si>
  <si>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</si>
  <si>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</si>
  <si>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</si>
  <si>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</si>
  <si>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</si>
  <si>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</si>
  <si>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</si>
  <si>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</si>
  <si>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</si>
  <si>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</si>
  <si>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</si>
  <si>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</si>
  <si>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</si>
  <si>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</si>
  <si>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</si>
  <si>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</si>
  <si>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</si>
  <si>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</si>
  <si>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</si>
  <si>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</si>
  <si>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</si>
  <si>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</si>
  <si>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</si>
  <si>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</si>
  <si>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</si>
  <si>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</si>
  <si>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</si>
  <si>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</si>
  <si>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</si>
  <si>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</si>
  <si>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</si>
  <si>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</si>
  <si>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</si>
  <si>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</si>
  <si>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</si>
  <si>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</si>
  <si>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</si>
  <si>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</si>
  <si>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</si>
  <si>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</si>
  <si>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</si>
  <si>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</si>
  <si>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</si>
  <si>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</si>
  <si>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</si>
  <si>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</si>
  <si>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</si>
  <si>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</si>
  <si>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</si>
  <si>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</si>
  <si>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</si>
  <si>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</si>
  <si>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</si>
  <si>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</si>
  <si>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</si>
  <si>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</si>
  <si>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</si>
  <si>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</si>
  <si>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</si>
  <si>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</si>
  <si>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</si>
  <si>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</si>
  <si>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</si>
  <si>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</si>
  <si>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</si>
  <si>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</si>
  <si>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</si>
  <si>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</si>
  <si>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</si>
  <si>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</si>
  <si>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</si>
  <si>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</si>
  <si>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</si>
  <si>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</si>
  <si>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</si>
  <si>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</si>
  <si>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</si>
  <si>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</si>
  <si>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</si>
  <si>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</si>
  <si>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</si>
  <si>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</si>
  <si>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</si>
  <si>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</si>
  <si>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</si>
  <si>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</si>
  <si>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</si>
  <si>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</si>
  <si>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</si>
  <si>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</si>
  <si>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</si>
  <si>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</si>
  <si>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</si>
  <si>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</si>
  <si>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</si>
  <si>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</si>
  <si>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</si>
  <si>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</si>
  <si>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</si>
  <si>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</si>
  <si>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</si>
  <si>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</si>
  <si>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</si>
  <si>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</si>
  <si>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</si>
  <si>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</si>
  <si>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</si>
  <si>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</si>
  <si>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</si>
  <si>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</si>
  <si>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</si>
  <si>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</si>
  <si>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</si>
  <si>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</si>
  <si>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</si>
  <si>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</si>
  <si>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</si>
  <si>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</si>
  <si>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</si>
  <si>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</si>
  <si>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</si>
  <si>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</si>
  <si>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</si>
  <si>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</si>
  <si>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</si>
  <si>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</si>
  <si>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</si>
  <si>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</si>
  <si>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</si>
  <si>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</si>
  <si>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</si>
  <si>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</si>
  <si>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</si>
  <si>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</si>
  <si>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</si>
  <si>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</si>
  <si>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</si>
  <si>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</si>
  <si>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</si>
  <si>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</si>
  <si>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</si>
  <si>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</si>
  <si>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</si>
  <si>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</si>
  <si>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</si>
  <si>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</si>
  <si>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</si>
  <si>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</si>
  <si>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</si>
  <si>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</si>
  <si>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</si>
  <si>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</si>
  <si>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</si>
  <si>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</si>
  <si>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</si>
  <si>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</si>
  <si>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</si>
  <si>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</si>
  <si>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</si>
  <si>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</si>
  <si>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</si>
  <si>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</si>
  <si>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</si>
  <si>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</si>
  <si>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</si>
  <si>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</si>
  <si>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</si>
  <si>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</si>
  <si>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</si>
  <si>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</si>
  <si>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</si>
  <si>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</si>
  <si>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</si>
  <si>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</si>
  <si>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</si>
  <si>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</si>
  <si>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</si>
  <si>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</si>
  <si>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</si>
  <si>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</si>
  <si>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</si>
  <si>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</si>
  <si>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</si>
  <si>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</si>
  <si>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</si>
  <si>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</si>
  <si>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</si>
  <si>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</si>
  <si>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</si>
  <si>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</si>
  <si>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</si>
  <si>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</si>
  <si>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</si>
  <si>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</si>
  <si>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</si>
  <si>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</si>
  <si>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</si>
  <si>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</si>
  <si>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</si>
  <si>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</si>
  <si>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</si>
  <si>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</si>
  <si>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</si>
  <si>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</si>
  <si>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</si>
  <si>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</si>
  <si>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</si>
  <si>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</si>
  <si>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</si>
  <si>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</si>
  <si>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</si>
  <si>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</si>
  <si>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</si>
  <si>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</si>
  <si>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</si>
  <si>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</si>
  <si>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</si>
  <si>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</si>
  <si>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</si>
  <si>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</si>
  <si>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</si>
  <si>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</si>
  <si>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</si>
  <si>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</si>
  <si>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</si>
  <si>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</si>
  <si>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</si>
  <si>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</si>
  <si>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</si>
  <si>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</si>
  <si>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</si>
  <si>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</si>
  <si>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</si>
  <si>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</si>
  <si>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</si>
  <si>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</si>
  <si>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</si>
  <si>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</si>
  <si>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</si>
  <si>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</si>
  <si>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</si>
  <si>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</si>
  <si>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</si>
  <si>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</si>
  <si>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</si>
  <si>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</si>
  <si>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</si>
  <si>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</si>
  <si>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</si>
  <si>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</si>
  <si>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</si>
  <si>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</si>
  <si>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</si>
  <si>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</si>
  <si>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</si>
  <si>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</si>
  <si>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</si>
  <si>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</si>
  <si>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</si>
  <si>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</si>
  <si>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</si>
  <si>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</si>
  <si>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</si>
  <si>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</si>
  <si>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</si>
  <si>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</si>
  <si>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</si>
  <si>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</si>
  <si>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</si>
  <si>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</si>
  <si>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</si>
  <si>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</si>
  <si>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</si>
  <si>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</si>
  <si>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</si>
  <si>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</si>
  <si>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</si>
  <si>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</si>
  <si>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</si>
  <si>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</si>
  <si>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</si>
  <si>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</si>
  <si>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</si>
  <si>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</si>
  <si>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</si>
  <si>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</si>
  <si>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</si>
  <si>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</si>
  <si>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</si>
  <si>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</si>
  <si>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</si>
  <si>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</si>
  <si>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</si>
  <si>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</si>
  <si>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</si>
  <si>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</si>
  <si>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</si>
  <si>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</si>
  <si>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</si>
  <si>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</si>
  <si>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</si>
  <si>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</si>
  <si>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</si>
  <si>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</si>
  <si>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</si>
  <si>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</si>
  <si>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</si>
  <si>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</si>
  <si>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</si>
  <si>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</si>
  <si>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</si>
  <si>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</si>
  <si>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</si>
  <si>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</si>
  <si>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</si>
  <si>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</si>
  <si>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</si>
  <si>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</si>
  <si>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</si>
  <si>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</si>
  <si>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</si>
  <si>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</si>
  <si>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</si>
  <si>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</si>
  <si>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</si>
  <si>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</si>
  <si>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</si>
  <si>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</si>
  <si>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</si>
  <si>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</si>
  <si>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</si>
  <si>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</si>
  <si>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</si>
  <si>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</si>
  <si>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</si>
  <si>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</si>
  <si>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</si>
  <si>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</si>
  <si>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</si>
  <si>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</si>
  <si>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</si>
  <si>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</si>
  <si>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</si>
  <si>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</si>
  <si>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</si>
  <si>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</si>
  <si>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</si>
  <si>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</si>
  <si>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</si>
  <si>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</si>
  <si>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</si>
  <si>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</si>
  <si>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</si>
  <si>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</si>
  <si>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</si>
  <si>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</si>
  <si>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</si>
  <si>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</si>
  <si>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</si>
  <si>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</si>
  <si>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</si>
  <si>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</si>
  <si>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</si>
  <si>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</si>
  <si>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</si>
  <si>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</si>
  <si>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</si>
  <si>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</si>
  <si>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</si>
  <si>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</si>
  <si>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</si>
  <si>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</si>
  <si>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</si>
  <si>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</si>
  <si>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</si>
  <si>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</si>
  <si>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</si>
  <si>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</si>
  <si>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</si>
  <si>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</si>
  <si>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</si>
  <si>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</si>
  <si>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</si>
  <si>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</si>
  <si>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</si>
  <si>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</si>
  <si>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</si>
  <si>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</si>
  <si>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</si>
  <si>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</si>
  <si>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</si>
  <si>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</si>
  <si>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</si>
  <si>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</si>
  <si>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</si>
  <si>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</si>
  <si>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</si>
  <si>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</si>
  <si>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</si>
  <si>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</si>
  <si>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</si>
  <si>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</si>
  <si>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</si>
  <si>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</si>
  <si>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</si>
  <si>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</si>
  <si>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</si>
  <si>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</si>
  <si>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</si>
  <si>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</si>
  <si>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</si>
  <si>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</si>
  <si>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</si>
  <si>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</si>
  <si>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</si>
  <si>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</si>
  <si>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</si>
  <si>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</si>
  <si>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</si>
  <si>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</si>
  <si>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</si>
  <si>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</si>
  <si>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</si>
  <si>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</si>
  <si>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</si>
  <si>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</si>
  <si>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</si>
  <si>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</si>
  <si>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</si>
  <si>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</si>
  <si>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</si>
  <si>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</si>
  <si>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</si>
  <si>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</si>
  <si>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</si>
  <si>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</si>
  <si>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</si>
  <si>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</si>
  <si>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</si>
  <si>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</si>
  <si>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</si>
  <si>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</si>
  <si>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</si>
  <si>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</si>
  <si>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</si>
  <si>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</si>
  <si>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</si>
  <si>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</si>
  <si>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</si>
  <si>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</si>
  <si>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</si>
  <si>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</si>
  <si>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</si>
  <si>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</si>
  <si>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</si>
  <si>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</si>
  <si>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</si>
  <si>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</si>
  <si>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</si>
  <si>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</si>
  <si>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</si>
  <si>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</si>
  <si>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</si>
  <si>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</si>
  <si>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</si>
  <si>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</si>
  <si>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</si>
  <si>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</si>
  <si>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</si>
  <si>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</si>
  <si>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</si>
  <si>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</si>
  <si>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</si>
  <si>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</si>
  <si>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</si>
  <si>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</si>
  <si>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</si>
  <si>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</si>
  <si>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</si>
  <si>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</si>
  <si>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</si>
  <si>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</si>
  <si>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</si>
  <si>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</si>
  <si>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</si>
  <si>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</si>
  <si>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</si>
  <si>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</si>
  <si>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</si>
  <si>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</si>
  <si>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</si>
  <si>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</si>
  <si>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</si>
  <si>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</si>
  <si>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</si>
  <si>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</si>
  <si>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</si>
  <si>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</si>
  <si>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</si>
  <si>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</si>
  <si>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</si>
  <si>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</si>
  <si>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</si>
  <si>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</si>
  <si>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</si>
  <si>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</si>
  <si>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</si>
  <si>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</si>
  <si>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</si>
  <si>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</si>
  <si>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</si>
  <si>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</si>
  <si>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</si>
  <si>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</si>
  <si>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</si>
  <si>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</si>
  <si>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</si>
  <si>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</si>
  <si>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</si>
  <si>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</si>
  <si>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</si>
  <si>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</si>
  <si>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</si>
  <si>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</si>
  <si>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</si>
  <si>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</si>
  <si>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</si>
  <si>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</si>
  <si>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</si>
  <si>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</si>
  <si>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</si>
  <si>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</si>
  <si>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</si>
  <si>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</si>
  <si>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</si>
  <si>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</si>
  <si>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</si>
  <si>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</si>
  <si>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</si>
  <si>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</si>
  <si>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</si>
  <si>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</si>
  <si>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</si>
  <si>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</si>
  <si>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</si>
  <si>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</si>
  <si>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</si>
  <si>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</si>
  <si>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</si>
  <si>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</si>
  <si>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</si>
  <si>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</si>
  <si>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</si>
  <si>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</si>
  <si>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</si>
  <si>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</si>
  <si>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</si>
  <si>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</si>
  <si>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</si>
  <si>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</si>
  <si>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</si>
  <si>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</si>
  <si>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</si>
  <si>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</si>
  <si>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</si>
  <si>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</si>
  <si>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</si>
  <si>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</si>
  <si>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</si>
  <si>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</si>
  <si>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</si>
  <si>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</si>
  <si>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</si>
  <si>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</si>
  <si>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</si>
  <si>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</si>
  <si>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</si>
  <si>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</si>
  <si>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</si>
  <si>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</si>
  <si>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</si>
  <si>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</si>
  <si>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</si>
  <si>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</si>
  <si>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</si>
  <si>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</si>
  <si>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</si>
  <si>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</si>
  <si>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</si>
  <si>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</si>
  <si>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</si>
  <si>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</si>
  <si>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</si>
  <si>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</si>
  <si>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</si>
  <si>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</si>
  <si>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</si>
  <si>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</si>
  <si>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</si>
  <si>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</si>
  <si>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</si>
  <si>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</si>
  <si>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</si>
  <si>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</si>
  <si>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</si>
  <si>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</si>
  <si>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</si>
  <si>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</si>
  <si>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</si>
  <si>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</si>
  <si>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</si>
  <si>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</si>
  <si>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</si>
  <si>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</si>
  <si>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</si>
  <si>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</si>
  <si>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</si>
  <si>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</si>
  <si>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</si>
  <si>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</si>
  <si>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</si>
  <si>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</si>
  <si>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</si>
  <si>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</si>
  <si>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</si>
  <si>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</si>
  <si>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</si>
  <si>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</si>
  <si>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</si>
  <si>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</si>
  <si>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</si>
  <si>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</si>
  <si>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</si>
  <si>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</si>
  <si>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</si>
  <si>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</si>
  <si>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</si>
  <si>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</si>
  <si>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</si>
  <si>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</si>
  <si>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</si>
  <si>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</si>
  <si>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</si>
  <si>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</si>
  <si>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</si>
  <si>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</si>
  <si>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</si>
  <si>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</si>
  <si>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</si>
  <si>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</si>
  <si>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</si>
  <si>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</si>
  <si>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</si>
  <si>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</si>
  <si>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</si>
  <si>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</si>
  <si>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</si>
  <si>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</si>
  <si>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</si>
  <si>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</si>
  <si>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</si>
  <si>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</si>
  <si>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</si>
  <si>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</si>
  <si>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</si>
  <si>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</si>
  <si>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</si>
  <si>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</si>
  <si>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</si>
  <si>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</si>
  <si>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</si>
  <si>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</si>
  <si>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</si>
  <si>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</si>
  <si>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</si>
  <si>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</si>
  <si>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</si>
  <si>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</si>
  <si>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</si>
  <si>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</si>
  <si>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</si>
  <si>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</si>
  <si>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</si>
  <si>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</si>
  <si>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</si>
  <si>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</si>
  <si>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</si>
  <si>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</si>
  <si>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</si>
  <si>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</si>
  <si>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</si>
  <si>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</si>
  <si>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</si>
  <si>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</si>
  <si>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</si>
  <si>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</si>
  <si>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</si>
  <si>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</si>
  <si>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</si>
  <si>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</si>
  <si>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</si>
  <si>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</si>
  <si>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</si>
  <si>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</si>
  <si>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</si>
  <si>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</si>
  <si>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</si>
  <si>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</si>
  <si>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</si>
  <si>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</si>
  <si>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</si>
  <si>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</si>
  <si>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</si>
  <si>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</si>
  <si>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</si>
  <si>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</si>
  <si>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</si>
  <si>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</si>
  <si>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</si>
  <si>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</si>
  <si>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</si>
  <si>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</si>
  <si>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</si>
  <si>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</si>
  <si>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</si>
  <si>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</si>
  <si>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</si>
  <si>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</si>
  <si>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</si>
  <si>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</si>
  <si>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</si>
  <si>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</si>
  <si>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</si>
  <si>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</si>
  <si>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</si>
  <si>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</si>
  <si>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</si>
  <si>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</si>
  <si>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</si>
  <si>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</si>
  <si>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</si>
  <si>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</si>
  <si>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</si>
  <si>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</si>
  <si>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</si>
  <si>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</si>
  <si>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</si>
  <si>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</si>
  <si>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</si>
  <si>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</si>
  <si>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</si>
  <si>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</si>
  <si>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</si>
  <si>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</si>
  <si>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</si>
  <si>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</si>
  <si>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</si>
  <si>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</si>
  <si>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</si>
  <si>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</si>
  <si>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</si>
  <si>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</si>
  <si>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</si>
  <si>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</si>
  <si>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</si>
  <si>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</si>
  <si>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</si>
  <si>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</si>
  <si>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</si>
  <si>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</si>
  <si>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</si>
  <si>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</si>
  <si>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</si>
  <si>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</si>
  <si>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</si>
  <si>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</si>
  <si>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</si>
  <si>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</si>
  <si>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</si>
  <si>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</si>
  <si>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</si>
  <si>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</si>
  <si>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</si>
  <si>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</si>
  <si>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</si>
  <si>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</si>
  <si>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</si>
  <si>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</si>
  <si>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</si>
  <si>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</si>
  <si>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</si>
  <si>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</si>
  <si>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</si>
  <si>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</si>
  <si>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</si>
  <si>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</si>
  <si>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</si>
  <si>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</si>
  <si>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</si>
  <si>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</si>
  <si>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</si>
  <si>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</si>
  <si>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</si>
  <si>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</si>
  <si>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</si>
  <si>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</si>
  <si>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</si>
  <si>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</si>
  <si>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</si>
  <si>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</si>
  <si>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</si>
  <si>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</si>
  <si>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</si>
  <si>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</si>
  <si>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</si>
  <si>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</si>
  <si>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</si>
  <si>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</si>
  <si>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</si>
  <si>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</si>
  <si>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</si>
  <si>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</si>
  <si>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</si>
  <si>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</si>
  <si>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</si>
  <si>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</si>
  <si>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</si>
  <si>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</si>
  <si>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</si>
  <si>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</si>
  <si>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</si>
  <si>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</si>
  <si>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</si>
  <si>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</si>
  <si>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</si>
  <si>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</si>
  <si>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</si>
  <si>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</si>
  <si>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</si>
  <si>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</si>
  <si>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</si>
  <si>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</si>
  <si>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</si>
  <si>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</si>
  <si>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</si>
  <si>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</si>
  <si>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</si>
  <si>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</si>
  <si>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</si>
  <si>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</si>
  <si>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</si>
  <si>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</si>
  <si>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</si>
  <si>
    <t>5/9/1398</t>
  </si>
  <si>
    <t>واریز 101268 تومن حساب علی</t>
  </si>
  <si>
    <t>واریز 101000 تومن حساب علی</t>
  </si>
  <si>
    <t>6/9/1398</t>
  </si>
  <si>
    <t>وغدیر 339 تا 297.4</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</si>
  <si>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</si>
  <si>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</si>
  <si>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</si>
  <si>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</si>
  <si>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</si>
  <si>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</si>
  <si>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</si>
  <si>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</si>
  <si>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</si>
  <si>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</si>
  <si>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</si>
  <si>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بدهی به رضا معادل 6000 تا وغدیر و 200 دلار 12100 تومن و 1000 یورو 13700 تومنی</t>
  </si>
  <si>
    <t>پارس 47 تا 4051</t>
  </si>
  <si>
    <t>18/9/1398</t>
  </si>
  <si>
    <t>دریافت 3020635 تومن حساب مریم</t>
  </si>
  <si>
    <t>طلب علی از مهدی سهام  122948 تا وغدیر</t>
  </si>
  <si>
    <t>بدهی به داریوش 18/9/98</t>
  </si>
  <si>
    <t>بدهی به حسین 20.4 کیلو برنج 18.5  16/9/98</t>
  </si>
  <si>
    <t>19/9/1398</t>
  </si>
  <si>
    <t>20/9/1398</t>
  </si>
  <si>
    <t>27/9/1398</t>
  </si>
  <si>
    <t>بدهی به حسین 27/9/98</t>
  </si>
  <si>
    <t>30/9/1398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</si>
</sst>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4"/>
  <sheetViews>
    <sheetView tabSelected="1" topLeftCell="J227" zoomScale="90" zoomScaleNormal="90" workbookViewId="0">
      <selection activeCell="Q252" sqref="Q25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5178</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5182</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5209</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5211</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5220</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5226</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5227</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5229</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5304</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5308</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5309</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5158</v>
      </c>
      <c r="Y81" s="161">
        <v>2000</v>
      </c>
      <c r="Z81" s="161">
        <v>747.2</v>
      </c>
      <c r="AA81" s="161">
        <v>242.8</v>
      </c>
      <c r="AB81" s="161">
        <f t="shared" si="20"/>
        <v>3.0774299835255357</v>
      </c>
      <c r="AC81" s="161">
        <f t="shared" si="21"/>
        <v>0.98282703687770245</v>
      </c>
      <c r="AD81" s="161"/>
      <c r="AE81" s="161">
        <v>6069</v>
      </c>
    </row>
    <row r="82" spans="1:31">
      <c r="A82" s="99" t="s">
        <v>5315</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5178</v>
      </c>
      <c r="Y83" s="271">
        <v>2510</v>
      </c>
      <c r="Z83" s="271">
        <v>740</v>
      </c>
      <c r="AA83" s="271">
        <v>269.5</v>
      </c>
      <c r="AB83" s="271">
        <f>Z83/AA83</f>
        <v>2.74582560296846</v>
      </c>
      <c r="AC83" s="271">
        <f>AB83/$X$75</f>
        <v>0.87692381486996362</v>
      </c>
      <c r="AD83" s="271" t="s">
        <v>5167</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5182</v>
      </c>
      <c r="Y84" s="271">
        <v>1821</v>
      </c>
      <c r="Z84" s="271">
        <v>7506</v>
      </c>
      <c r="AA84" s="271">
        <v>2710</v>
      </c>
      <c r="AB84" s="271">
        <f>Z84/AA84</f>
        <v>2.7697416974169742</v>
      </c>
      <c r="AC84" s="271">
        <f>AB84/$X$75</f>
        <v>0.88456180642991866</v>
      </c>
      <c r="AD84" s="271" t="s">
        <v>5167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5215</v>
      </c>
      <c r="Y85" s="161">
        <v>697</v>
      </c>
      <c r="Z85" s="161">
        <v>778.5</v>
      </c>
      <c r="AA85" s="161">
        <v>275.10000000000002</v>
      </c>
      <c r="AB85" s="161">
        <f>Z85/AA85</f>
        <v>2.8298800436205016</v>
      </c>
      <c r="AC85" s="161">
        <f>AB85/$X$75</f>
        <v>0.90376795991459558</v>
      </c>
      <c r="AD85" s="161" t="s">
        <v>5167</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5216</v>
      </c>
      <c r="Y86" s="161">
        <v>572</v>
      </c>
      <c r="Z86" s="161">
        <v>7914</v>
      </c>
      <c r="AA86" s="161">
        <v>2845</v>
      </c>
      <c r="AB86" s="161">
        <f t="shared" ref="AB86:AB97" si="22">Z86/AA86</f>
        <v>2.7817223198594023</v>
      </c>
      <c r="AC86" s="161">
        <f t="shared" ref="AC86:AC97" si="23">AB86/$X$75</f>
        <v>0.88838801197093076</v>
      </c>
      <c r="AD86" s="161" t="s">
        <v>5167</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5146</v>
      </c>
      <c r="Y87" s="152">
        <v>3676</v>
      </c>
      <c r="Z87" s="161">
        <v>782.4</v>
      </c>
      <c r="AA87" s="152">
        <v>291.5</v>
      </c>
      <c r="AB87" s="152">
        <f t="shared" si="22"/>
        <v>2.6840480274442537</v>
      </c>
      <c r="AC87" s="152">
        <f t="shared" si="23"/>
        <v>0.8571941469902784</v>
      </c>
      <c r="AD87" s="152" t="s">
        <v>5167</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5227</v>
      </c>
      <c r="Y88" s="276">
        <v>371</v>
      </c>
      <c r="Z88" s="276">
        <v>7620</v>
      </c>
      <c r="AA88" s="276">
        <v>2868</v>
      </c>
      <c r="AB88" s="276">
        <f t="shared" si="22"/>
        <v>2.6569037656903767</v>
      </c>
      <c r="AC88" s="276">
        <f t="shared" si="23"/>
        <v>0.84852518799182441</v>
      </c>
      <c r="AD88" s="276" t="s">
        <v>5167</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5167</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5284</v>
      </c>
      <c r="Y92" s="87">
        <v>2000</v>
      </c>
      <c r="Z92" s="87">
        <v>8125</v>
      </c>
      <c r="AA92" s="87">
        <v>3039</v>
      </c>
      <c r="AB92" s="87">
        <f t="shared" ref="AB92" si="34">Z92/AA92</f>
        <v>2.6735768344850279</v>
      </c>
      <c r="AC92" s="87">
        <f t="shared" ref="AC92" si="35">AB92/$X$75</f>
        <v>0.85385000216690843</v>
      </c>
      <c r="AD92" s="87" t="s">
        <v>5167</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5142</v>
      </c>
      <c r="L167" s="252">
        <v>809456290</v>
      </c>
      <c r="M167" s="252">
        <v>509313372</v>
      </c>
      <c r="N167" s="251">
        <f t="shared" si="45"/>
        <v>1318769662</v>
      </c>
      <c r="O167" s="251">
        <f>M167-M166-500000</f>
        <v>-11928523</v>
      </c>
      <c r="P167" s="251">
        <f>N167-N166-500000</f>
        <v>-34396074</v>
      </c>
      <c r="Q167" s="229">
        <v>500000</v>
      </c>
    </row>
    <row r="168" spans="9:18">
      <c r="I168" s="250" t="s">
        <v>5143</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5156</v>
      </c>
      <c r="L173" s="84">
        <v>802082154</v>
      </c>
      <c r="M173" s="84">
        <v>508611485</v>
      </c>
      <c r="N173" s="113">
        <f t="shared" si="45"/>
        <v>1310693639</v>
      </c>
      <c r="O173" s="113">
        <f t="shared" si="49"/>
        <v>-117320</v>
      </c>
      <c r="P173" s="113">
        <f t="shared" si="50"/>
        <v>-4323075</v>
      </c>
      <c r="Q173" s="229">
        <v>0</v>
      </c>
      <c r="R173" t="s">
        <v>25</v>
      </c>
    </row>
    <row r="174" spans="9:18">
      <c r="I174" s="250" t="s">
        <v>5159</v>
      </c>
      <c r="J174" s="251">
        <f>L174-L173-65000</f>
        <v>5888390</v>
      </c>
      <c r="K174" s="250" t="s">
        <v>5158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5168</v>
      </c>
      <c r="J176" s="248">
        <f>L176-L175+305807</f>
        <v>8668560</v>
      </c>
      <c r="K176" s="216" t="s">
        <v>5165</v>
      </c>
      <c r="L176" s="249">
        <v>816745622</v>
      </c>
      <c r="M176" s="249">
        <v>516127148</v>
      </c>
      <c r="N176" s="248">
        <f t="shared" si="45"/>
        <v>1332872770</v>
      </c>
      <c r="O176" s="248">
        <f>M176-M175+305807</f>
        <v>3691986</v>
      </c>
      <c r="P176" s="248">
        <f>N176-N175+611614</f>
        <v>12360546</v>
      </c>
      <c r="Q176" s="229">
        <v>-611614</v>
      </c>
    </row>
    <row r="177" spans="9:17">
      <c r="I177" s="152" t="s">
        <v>5169</v>
      </c>
      <c r="J177" s="248">
        <f>L177-L176+63348</f>
        <v>4837676</v>
      </c>
      <c r="K177" s="216" t="s">
        <v>5166</v>
      </c>
      <c r="L177" s="249">
        <v>821519950</v>
      </c>
      <c r="M177" s="249">
        <v>505943649</v>
      </c>
      <c r="N177" s="248">
        <f t="shared" si="45"/>
        <v>1327463599</v>
      </c>
      <c r="O177" s="248">
        <f>M177-M176+13076601</f>
        <v>2893102</v>
      </c>
      <c r="P177" s="248">
        <f>N177-N176+13139949</f>
        <v>7730778</v>
      </c>
      <c r="Q177" s="229">
        <v>-13139949</v>
      </c>
    </row>
    <row r="178" spans="9:17">
      <c r="I178" s="272" t="s">
        <v>5172</v>
      </c>
      <c r="J178" s="273">
        <f>L178-L177-50000</f>
        <v>30757186</v>
      </c>
      <c r="K178" s="272" t="s">
        <v>5171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5191</v>
      </c>
      <c r="L184" s="84">
        <v>904707054</v>
      </c>
      <c r="M184" s="84">
        <v>557394961</v>
      </c>
      <c r="N184" s="113">
        <f t="shared" si="45"/>
        <v>1462102015</v>
      </c>
      <c r="O184" s="113">
        <f t="shared" si="49"/>
        <v>-6711498</v>
      </c>
      <c r="P184" s="113">
        <f t="shared" si="50"/>
        <v>-18369320</v>
      </c>
      <c r="Q184" s="229">
        <v>0</v>
      </c>
    </row>
    <row r="185" spans="9:17">
      <c r="I185" s="189" t="s">
        <v>5197</v>
      </c>
      <c r="J185" s="188">
        <f>L185-L184-200000</f>
        <v>15983884</v>
      </c>
      <c r="K185" s="189" t="s">
        <v>5193</v>
      </c>
      <c r="L185" s="238">
        <v>920890938</v>
      </c>
      <c r="M185" s="238">
        <v>566042468</v>
      </c>
      <c r="N185" s="188">
        <f t="shared" si="45"/>
        <v>1486933406</v>
      </c>
      <c r="O185" s="188">
        <f t="shared" si="49"/>
        <v>8647507</v>
      </c>
      <c r="P185" s="188">
        <f>N185-N184-200000</f>
        <v>24631391</v>
      </c>
      <c r="Q185" s="229">
        <v>200000</v>
      </c>
    </row>
    <row r="186" spans="9:17">
      <c r="I186" s="189" t="s">
        <v>5205</v>
      </c>
      <c r="J186" s="188">
        <f>L186-L185-30000</f>
        <v>1392982</v>
      </c>
      <c r="K186" s="189" t="s">
        <v>5198</v>
      </c>
      <c r="L186" s="238">
        <v>922313920</v>
      </c>
      <c r="M186" s="238">
        <v>567221668</v>
      </c>
      <c r="N186" s="188">
        <f t="shared" si="45"/>
        <v>1489535588</v>
      </c>
      <c r="O186" s="188">
        <f t="shared" si="49"/>
        <v>1179200</v>
      </c>
      <c r="P186" s="188">
        <f>N186-N185-30000</f>
        <v>2572182</v>
      </c>
      <c r="Q186" s="229">
        <v>30000</v>
      </c>
    </row>
    <row r="187" spans="9:17">
      <c r="I187" s="213" t="s">
        <v>5210</v>
      </c>
      <c r="J187" s="113">
        <f t="shared" si="46"/>
        <v>-1865454</v>
      </c>
      <c r="K187" s="213" t="s">
        <v>5209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5146</v>
      </c>
      <c r="L189" s="84">
        <v>951067529</v>
      </c>
      <c r="M189" s="84">
        <v>596275041</v>
      </c>
      <c r="N189" s="220">
        <f t="shared" si="45"/>
        <v>1547342570</v>
      </c>
      <c r="O189" s="113">
        <f t="shared" si="49"/>
        <v>8603623</v>
      </c>
      <c r="P189" s="113">
        <f t="shared" si="50"/>
        <v>26700407</v>
      </c>
      <c r="Q189" s="229">
        <v>0</v>
      </c>
    </row>
    <row r="190" spans="9:17" ht="30">
      <c r="I190" s="270" t="s">
        <v>5221</v>
      </c>
      <c r="J190" s="188">
        <f>L190-L189+4000000</f>
        <v>-1393565</v>
      </c>
      <c r="K190" s="189" t="s">
        <v>5220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5226</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5227</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5229</v>
      </c>
      <c r="L194" s="254">
        <v>901275329</v>
      </c>
      <c r="M194" s="254">
        <v>583098793</v>
      </c>
      <c r="N194" s="117">
        <f>L194+M194</f>
        <v>1484374122</v>
      </c>
      <c r="O194" s="117">
        <f t="shared" si="49"/>
        <v>-3486217</v>
      </c>
      <c r="P194" s="117">
        <f>N194-N193</f>
        <v>-18861608</v>
      </c>
      <c r="Q194" s="229">
        <v>0</v>
      </c>
    </row>
    <row r="195" spans="9:17">
      <c r="I195" s="189" t="s">
        <v>5237</v>
      </c>
      <c r="J195" s="188">
        <f>L195-L194-150000</f>
        <v>17593478</v>
      </c>
      <c r="K195" s="189" t="s">
        <v>5234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5273</v>
      </c>
      <c r="L199" s="84">
        <v>992076311</v>
      </c>
      <c r="M199" s="84">
        <v>638214788</v>
      </c>
      <c r="N199" s="220">
        <f t="shared" si="45"/>
        <v>1630291099</v>
      </c>
      <c r="O199" s="113">
        <f t="shared" si="49"/>
        <v>470124</v>
      </c>
      <c r="P199" s="113">
        <f t="shared" si="50"/>
        <v>12547575</v>
      </c>
      <c r="Q199" s="229">
        <v>0</v>
      </c>
    </row>
    <row r="200" spans="9:17">
      <c r="I200" s="189" t="s">
        <v>5283</v>
      </c>
      <c r="J200" s="188">
        <f>L200-L199-400000</f>
        <v>-7612896</v>
      </c>
      <c r="K200" s="189" t="s">
        <v>5278</v>
      </c>
      <c r="L200" s="238">
        <v>984863415</v>
      </c>
      <c r="M200" s="238">
        <v>632226484</v>
      </c>
      <c r="N200" s="188">
        <f t="shared" si="45"/>
        <v>1617089899</v>
      </c>
      <c r="O200" s="188">
        <f t="shared" si="49"/>
        <v>-5988304</v>
      </c>
      <c r="P200" s="188">
        <f>N200-N199-400000</f>
        <v>-13601200</v>
      </c>
      <c r="Q200" s="229">
        <v>400000</v>
      </c>
    </row>
    <row r="201" spans="9:17">
      <c r="I201" s="216" t="s">
        <v>5286</v>
      </c>
      <c r="J201" s="248">
        <f>L201-L200+100000</f>
        <v>12509920</v>
      </c>
      <c r="K201" s="216" t="s">
        <v>5284</v>
      </c>
      <c r="L201" s="249">
        <v>997273335</v>
      </c>
      <c r="M201" s="249">
        <v>639479822</v>
      </c>
      <c r="N201" s="220">
        <f t="shared" si="45"/>
        <v>1636753157</v>
      </c>
      <c r="O201" s="248">
        <f t="shared" si="49"/>
        <v>7253338</v>
      </c>
      <c r="P201" s="248">
        <f>N201-N200+100000</f>
        <v>19763258</v>
      </c>
      <c r="Q201" s="229">
        <v>-100000</v>
      </c>
    </row>
    <row r="202" spans="9:17">
      <c r="I202" s="189" t="s">
        <v>5291</v>
      </c>
      <c r="J202" s="188">
        <f>L202-L201-10000000</f>
        <v>-2265988</v>
      </c>
      <c r="K202" s="189" t="s">
        <v>5289</v>
      </c>
      <c r="L202" s="238">
        <v>1005007347</v>
      </c>
      <c r="M202" s="238">
        <v>636084938</v>
      </c>
      <c r="N202" s="188">
        <f t="shared" si="45"/>
        <v>1641092285</v>
      </c>
      <c r="O202" s="188">
        <f t="shared" si="49"/>
        <v>-3394884</v>
      </c>
      <c r="P202" s="188">
        <f>N202-N201-10000000</f>
        <v>-5660872</v>
      </c>
      <c r="Q202" s="229">
        <v>10000000</v>
      </c>
    </row>
    <row r="203" spans="9:17">
      <c r="I203" s="216" t="s">
        <v>5301</v>
      </c>
      <c r="J203" s="248">
        <f>L203-L202+400000</f>
        <v>8061336</v>
      </c>
      <c r="K203" s="216" t="s">
        <v>5298</v>
      </c>
      <c r="L203" s="249">
        <v>1012668683</v>
      </c>
      <c r="M203" s="249">
        <v>641491326</v>
      </c>
      <c r="N203" s="220">
        <f t="shared" si="45"/>
        <v>1654160009</v>
      </c>
      <c r="O203" s="248">
        <f t="shared" si="49"/>
        <v>5406388</v>
      </c>
      <c r="P203" s="248">
        <f>N203-N202+400000</f>
        <v>13467724</v>
      </c>
      <c r="Q203" s="229">
        <v>-400000</v>
      </c>
    </row>
    <row r="204" spans="9:17">
      <c r="I204" s="216" t="s">
        <v>5302</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5304</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5308</v>
      </c>
      <c r="L206" s="84">
        <v>991102717</v>
      </c>
      <c r="M206" s="84">
        <v>623731041</v>
      </c>
      <c r="N206" s="113">
        <f t="shared" si="52"/>
        <v>1614833758</v>
      </c>
      <c r="O206" s="113">
        <f t="shared" si="53"/>
        <v>-2790917</v>
      </c>
      <c r="P206" s="113">
        <f t="shared" si="54"/>
        <v>-6391417</v>
      </c>
      <c r="Q206" s="229">
        <v>0</v>
      </c>
    </row>
    <row r="207" spans="9:17">
      <c r="I207" s="189" t="s">
        <v>5314</v>
      </c>
      <c r="J207" s="188">
        <f>L207-L206-1300000</f>
        <v>-17889835</v>
      </c>
      <c r="K207" s="189" t="s">
        <v>5309</v>
      </c>
      <c r="L207" s="238">
        <v>974512882</v>
      </c>
      <c r="M207" s="238">
        <v>611227725</v>
      </c>
      <c r="N207" s="188">
        <f t="shared" si="52"/>
        <v>1585740607</v>
      </c>
      <c r="O207" s="188">
        <f>M207-M206-230000</f>
        <v>-12733316</v>
      </c>
      <c r="P207" s="188">
        <f>N207-N206-1530000</f>
        <v>-30623151</v>
      </c>
      <c r="Q207" s="229">
        <v>1530000</v>
      </c>
    </row>
    <row r="208" spans="9:17">
      <c r="I208" s="216" t="s">
        <v>5316</v>
      </c>
      <c r="J208" s="248">
        <f>L208-L207-230000</f>
        <v>26666770</v>
      </c>
      <c r="K208" s="216" t="s">
        <v>5315</v>
      </c>
      <c r="L208" s="249">
        <v>1001409652</v>
      </c>
      <c r="M208" s="249">
        <v>627313031</v>
      </c>
      <c r="N208" s="248">
        <f t="shared" si="52"/>
        <v>1628722683</v>
      </c>
      <c r="O208" s="248">
        <f>M208-M207+880000</f>
        <v>16965306</v>
      </c>
      <c r="P208" s="248">
        <f t="shared" si="54"/>
        <v>42982076</v>
      </c>
      <c r="Q208" s="229">
        <v>-650000</v>
      </c>
    </row>
    <row r="209" spans="9:19">
      <c r="I209" s="189" t="s">
        <v>5317</v>
      </c>
      <c r="J209" s="188">
        <f>L209-L208-880000</f>
        <v>38363123</v>
      </c>
      <c r="K209" s="189" t="s">
        <v>5318</v>
      </c>
      <c r="L209" s="238">
        <v>1040652775</v>
      </c>
      <c r="M209" s="238">
        <v>653526288</v>
      </c>
      <c r="N209" s="220">
        <f t="shared" si="52"/>
        <v>1694179063</v>
      </c>
      <c r="O209" s="188">
        <f t="shared" si="53"/>
        <v>26213257</v>
      </c>
      <c r="P209" s="188">
        <f>N209-N208-880000</f>
        <v>64576380</v>
      </c>
      <c r="Q209" s="229">
        <v>880000</v>
      </c>
    </row>
    <row r="210" spans="9:19">
      <c r="I210" s="216" t="s">
        <v>5323</v>
      </c>
      <c r="J210" s="248">
        <f>L210-L209+900000</f>
        <v>20298534</v>
      </c>
      <c r="K210" s="216" t="s">
        <v>5320</v>
      </c>
      <c r="L210" s="249">
        <v>1060051309</v>
      </c>
      <c r="M210" s="249">
        <v>663872836</v>
      </c>
      <c r="N210" s="220">
        <f t="shared" si="52"/>
        <v>1723924145</v>
      </c>
      <c r="O210" s="248">
        <f>M210-M209-200000</f>
        <v>10146548</v>
      </c>
      <c r="P210" s="248">
        <f>N210-N209+700000</f>
        <v>30445082</v>
      </c>
      <c r="Q210" s="229">
        <v>-700000</v>
      </c>
    </row>
    <row r="211" spans="9:19">
      <c r="I211" s="189" t="s">
        <v>5328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5331</v>
      </c>
      <c r="J213" s="113">
        <f>L213-L212+800000</f>
        <v>15351721</v>
      </c>
      <c r="K213" s="213" t="s">
        <v>5332</v>
      </c>
      <c r="L213" s="84">
        <v>1017597520</v>
      </c>
      <c r="M213" s="84">
        <v>638870084</v>
      </c>
      <c r="N213" s="113">
        <f t="shared" si="52"/>
        <v>1656467604</v>
      </c>
      <c r="O213" s="113">
        <f>M213-M212+10000000</f>
        <v>14214313</v>
      </c>
      <c r="P213" s="113">
        <f>N213-N212+10800000</f>
        <v>29566034</v>
      </c>
      <c r="Q213" s="229">
        <v>-10800000</v>
      </c>
    </row>
    <row r="214" spans="9:19">
      <c r="I214" s="216" t="s">
        <v>5342</v>
      </c>
      <c r="J214" s="248">
        <f t="shared" si="51"/>
        <v>-18127600</v>
      </c>
      <c r="K214" s="216" t="s">
        <v>5337</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5348</v>
      </c>
      <c r="J217" s="248">
        <f>L217-L216-50000</f>
        <v>-3947893</v>
      </c>
      <c r="K217" s="216" t="s">
        <v>5347</v>
      </c>
      <c r="L217" s="249">
        <v>1010326365</v>
      </c>
      <c r="M217" s="249">
        <v>632690003</v>
      </c>
      <c r="N217" s="248">
        <f t="shared" si="55"/>
        <v>1643016368</v>
      </c>
      <c r="O217" s="248">
        <f t="shared" si="56"/>
        <v>-2811879</v>
      </c>
      <c r="P217" s="248">
        <f>N217-N216-50000</f>
        <v>-6759772</v>
      </c>
      <c r="Q217" s="229">
        <v>50000</v>
      </c>
    </row>
    <row r="218" spans="9:19">
      <c r="I218" s="216" t="s">
        <v>5351</v>
      </c>
      <c r="J218" s="248">
        <f>L218-L217-400000</f>
        <v>-7352281</v>
      </c>
      <c r="K218" s="216" t="s">
        <v>5353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5356</v>
      </c>
      <c r="L219" s="84">
        <v>999517682</v>
      </c>
      <c r="M219" s="84">
        <v>627640361</v>
      </c>
      <c r="N219" s="113">
        <f t="shared" si="55"/>
        <v>1627158043</v>
      </c>
      <c r="O219" s="113">
        <f t="shared" si="56"/>
        <v>-1762209</v>
      </c>
      <c r="P219" s="113">
        <f t="shared" si="57"/>
        <v>-5618611</v>
      </c>
      <c r="Q219" s="229">
        <v>0</v>
      </c>
    </row>
    <row r="220" spans="9:19">
      <c r="I220" s="189" t="s">
        <v>5359</v>
      </c>
      <c r="J220" s="188">
        <f t="shared" si="51"/>
        <v>30762624</v>
      </c>
      <c r="K220" s="189" t="s">
        <v>5358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5307</v>
      </c>
      <c r="L221" s="84">
        <v>1013932649</v>
      </c>
      <c r="M221" s="84">
        <v>635152182</v>
      </c>
      <c r="N221" s="113">
        <f t="shared" si="55"/>
        <v>1649084831</v>
      </c>
      <c r="O221" s="113">
        <f t="shared" si="56"/>
        <v>-10386048</v>
      </c>
      <c r="P221" s="113">
        <f t="shared" si="57"/>
        <v>-26733705</v>
      </c>
      <c r="Q221" s="229">
        <v>0</v>
      </c>
    </row>
    <row r="222" spans="9:19">
      <c r="I222" s="279" t="s">
        <v>5368</v>
      </c>
      <c r="J222" s="280">
        <f>L222-L221+7000000</f>
        <v>4431891</v>
      </c>
      <c r="K222" s="279" t="s">
        <v>5369</v>
      </c>
      <c r="L222" s="281">
        <v>1011364540</v>
      </c>
      <c r="M222" s="281">
        <v>634014280</v>
      </c>
      <c r="N222" s="280">
        <f t="shared" si="55"/>
        <v>1645378820</v>
      </c>
      <c r="O222" s="280">
        <f t="shared" si="56"/>
        <v>-1137902</v>
      </c>
      <c r="P222" s="280">
        <f>N222-N221+7000000</f>
        <v>3293989</v>
      </c>
      <c r="Q222" s="229">
        <v>-7000000</v>
      </c>
    </row>
    <row r="223" spans="9:19">
      <c r="I223" s="216" t="s">
        <v>5372</v>
      </c>
      <c r="J223" s="248">
        <f t="shared" si="51"/>
        <v>-12364540</v>
      </c>
      <c r="K223" s="216" t="s">
        <v>5371</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5374</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5375</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5376</v>
      </c>
      <c r="L226" s="84">
        <v>995000000</v>
      </c>
      <c r="M226" s="84">
        <v>625000000</v>
      </c>
      <c r="N226" s="113">
        <f t="shared" si="55"/>
        <v>1620000000</v>
      </c>
      <c r="O226" s="113">
        <f t="shared" si="56"/>
        <v>-2621912</v>
      </c>
      <c r="P226" s="113">
        <f t="shared" si="57"/>
        <v>-8262288</v>
      </c>
      <c r="Q226" s="229">
        <v>0</v>
      </c>
    </row>
    <row r="227" spans="9:19">
      <c r="I227" s="189" t="s">
        <v>5377</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5379</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5380</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5381</v>
      </c>
      <c r="L230" s="84">
        <v>981346829</v>
      </c>
      <c r="M230" s="84">
        <v>616768631</v>
      </c>
      <c r="N230" s="113">
        <f>L230+M230</f>
        <v>1598115460</v>
      </c>
      <c r="O230" s="113">
        <f t="shared" si="56"/>
        <v>-231369</v>
      </c>
      <c r="P230" s="113">
        <f t="shared" si="57"/>
        <v>-2584540</v>
      </c>
      <c r="Q230" s="229">
        <v>0</v>
      </c>
    </row>
    <row r="231" spans="9:19">
      <c r="I231" s="189" t="s">
        <v>5383</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5382</v>
      </c>
      <c r="L232" s="84">
        <v>982764273</v>
      </c>
      <c r="M232" s="84">
        <v>618232370</v>
      </c>
      <c r="N232" s="113">
        <f t="shared" si="55"/>
        <v>1600996643</v>
      </c>
      <c r="O232" s="113">
        <f t="shared" si="56"/>
        <v>9817180</v>
      </c>
      <c r="P232" s="113">
        <f t="shared" si="57"/>
        <v>27833689</v>
      </c>
      <c r="Q232" s="229">
        <v>0</v>
      </c>
    </row>
    <row r="233" spans="9:19">
      <c r="I233" s="189" t="s">
        <v>5388</v>
      </c>
      <c r="J233" s="188">
        <f>L233-L232+990760</f>
        <v>270597</v>
      </c>
      <c r="K233" s="189" t="s">
        <v>5387</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5389</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5390</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5394</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5395</v>
      </c>
      <c r="L237" s="84">
        <v>973935836</v>
      </c>
      <c r="M237" s="84">
        <v>612781866</v>
      </c>
      <c r="N237" s="113">
        <f t="shared" si="55"/>
        <v>1586717702</v>
      </c>
      <c r="O237" s="113">
        <f t="shared" si="56"/>
        <v>-4703074</v>
      </c>
      <c r="P237" s="113">
        <f t="shared" si="57"/>
        <v>-14274043</v>
      </c>
      <c r="Q237" s="229">
        <v>0</v>
      </c>
    </row>
    <row r="238" spans="9:19">
      <c r="I238" s="216" t="s">
        <v>5398</v>
      </c>
      <c r="J238" s="248">
        <f>L238-L237-101268</f>
        <v>10034013</v>
      </c>
      <c r="K238" s="216" t="s">
        <v>5397</v>
      </c>
      <c r="L238" s="249">
        <v>984071117</v>
      </c>
      <c r="M238" s="249">
        <v>619527192</v>
      </c>
      <c r="N238" s="248">
        <f t="shared" si="55"/>
        <v>1603598309</v>
      </c>
      <c r="O238" s="248">
        <f t="shared" si="56"/>
        <v>6745326</v>
      </c>
      <c r="P238" s="248">
        <f>N238-N237-101268</f>
        <v>16779339</v>
      </c>
      <c r="Q238" s="229">
        <v>101268</v>
      </c>
    </row>
    <row r="239" spans="9:19">
      <c r="I239" s="282" t="s">
        <v>5399</v>
      </c>
      <c r="J239" s="94">
        <f>L239-L238-101000</f>
        <v>-5512506</v>
      </c>
      <c r="K239" s="282" t="s">
        <v>5400</v>
      </c>
      <c r="L239" s="283">
        <v>978659611</v>
      </c>
      <c r="M239" s="283">
        <v>617623197</v>
      </c>
      <c r="N239" s="94">
        <f t="shared" si="55"/>
        <v>1596282808</v>
      </c>
      <c r="O239" s="94">
        <f t="shared" si="56"/>
        <v>-1903995</v>
      </c>
      <c r="P239" s="94">
        <f>N239-N238-101000</f>
        <v>-7416501</v>
      </c>
      <c r="Q239" s="229">
        <v>101000</v>
      </c>
    </row>
    <row r="240" spans="9:19">
      <c r="I240" s="213"/>
      <c r="J240" s="113">
        <f t="shared" ref="J240:J255" si="58">L240-L239</f>
        <v>-3538077</v>
      </c>
      <c r="K240" s="213" t="s">
        <v>5403</v>
      </c>
      <c r="L240" s="84">
        <v>975121534</v>
      </c>
      <c r="M240" s="84">
        <v>616980448</v>
      </c>
      <c r="N240" s="113">
        <f t="shared" ref="N240:N255" si="59">L240+M240</f>
        <v>1592101982</v>
      </c>
      <c r="O240" s="113">
        <f t="shared" ref="O240:O255" si="60">M240-M239</f>
        <v>-642749</v>
      </c>
      <c r="P240" s="113">
        <f t="shared" ref="P240:P255" si="61">N240-N239</f>
        <v>-4180826</v>
      </c>
      <c r="Q240" s="229">
        <v>0</v>
      </c>
    </row>
    <row r="241" spans="9:19">
      <c r="I241" s="213"/>
      <c r="J241" s="113">
        <f t="shared" si="58"/>
        <v>8213727</v>
      </c>
      <c r="K241" s="213" t="s">
        <v>5405</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5407</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5408</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5409</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5412</v>
      </c>
      <c r="L246" s="84">
        <v>998587209</v>
      </c>
      <c r="M246" s="84">
        <v>628989460</v>
      </c>
      <c r="N246" s="113">
        <f t="shared" si="59"/>
        <v>1627576669</v>
      </c>
      <c r="O246" s="113">
        <f t="shared" si="60"/>
        <v>-386804</v>
      </c>
      <c r="P246" s="113">
        <f t="shared" si="61"/>
        <v>-378799</v>
      </c>
      <c r="Q246" s="229">
        <v>0</v>
      </c>
    </row>
    <row r="247" spans="9:19">
      <c r="I247" s="213" t="s">
        <v>5416</v>
      </c>
      <c r="J247" s="113">
        <f t="shared" si="58"/>
        <v>57939414</v>
      </c>
      <c r="K247" s="213" t="s">
        <v>5415</v>
      </c>
      <c r="L247" s="84">
        <v>1056526623</v>
      </c>
      <c r="M247" s="84">
        <v>660656770</v>
      </c>
      <c r="N247" s="220">
        <f t="shared" si="59"/>
        <v>1717183393</v>
      </c>
      <c r="O247" s="113">
        <f>M247-M246+3020635</f>
        <v>34687945</v>
      </c>
      <c r="P247" s="113">
        <f>N247-N246+3020635</f>
        <v>92627359</v>
      </c>
      <c r="Q247" s="229">
        <v>-3020635</v>
      </c>
    </row>
    <row r="248" spans="9:19">
      <c r="I248" s="213"/>
      <c r="J248" s="113">
        <f t="shared" si="58"/>
        <v>8473377</v>
      </c>
      <c r="K248" s="213" t="s">
        <v>5420</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5421</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5422</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5424</v>
      </c>
      <c r="L251" s="84">
        <v>1092729786</v>
      </c>
      <c r="M251" s="84">
        <v>682978385</v>
      </c>
      <c r="N251" s="35">
        <f t="shared" si="59"/>
        <v>1775708171</v>
      </c>
      <c r="O251" s="113">
        <f t="shared" si="60"/>
        <v>1929076</v>
      </c>
      <c r="P251" s="113">
        <f t="shared" si="61"/>
        <v>3634091</v>
      </c>
      <c r="Q251" s="229">
        <v>0</v>
      </c>
    </row>
    <row r="252" spans="9:19">
      <c r="I252" s="213"/>
      <c r="J252" s="113">
        <f t="shared" si="58"/>
        <v>-1092729786</v>
      </c>
      <c r="K252" s="213"/>
      <c r="L252" s="84"/>
      <c r="M252" s="84"/>
      <c r="N252" s="113">
        <f t="shared" si="59"/>
        <v>0</v>
      </c>
      <c r="O252" s="113">
        <f t="shared" si="60"/>
        <v>-682978385</v>
      </c>
      <c r="P252" s="113">
        <f t="shared" si="61"/>
        <v>-1775708171</v>
      </c>
    </row>
    <row r="253" spans="9:19">
      <c r="I253" s="213"/>
      <c r="J253" s="113">
        <f t="shared" si="58"/>
        <v>0</v>
      </c>
      <c r="K253" s="213"/>
      <c r="L253" s="84"/>
      <c r="M253" s="84"/>
      <c r="N253" s="113">
        <f t="shared" si="59"/>
        <v>0</v>
      </c>
      <c r="O253" s="113">
        <f t="shared" si="60"/>
        <v>0</v>
      </c>
      <c r="P253" s="113">
        <f t="shared" si="61"/>
        <v>0</v>
      </c>
    </row>
    <row r="254" spans="9:19">
      <c r="I254" s="213"/>
      <c r="J254" s="113">
        <f t="shared" si="58"/>
        <v>0</v>
      </c>
      <c r="K254" s="213"/>
      <c r="L254" s="84"/>
      <c r="M254" s="84"/>
      <c r="N254" s="113">
        <f t="shared" si="59"/>
        <v>0</v>
      </c>
      <c r="O254" s="113">
        <f t="shared" si="60"/>
        <v>0</v>
      </c>
      <c r="P254" s="113">
        <f t="shared" si="61"/>
        <v>0</v>
      </c>
    </row>
    <row r="255" spans="9:19">
      <c r="I255" s="213"/>
      <c r="J255" s="113">
        <f t="shared" si="58"/>
        <v>0</v>
      </c>
      <c r="K255" s="213"/>
      <c r="L255" s="84"/>
      <c r="M255" s="84"/>
      <c r="N255" s="113">
        <f t="shared" si="59"/>
        <v>0</v>
      </c>
      <c r="O255" s="113">
        <f t="shared" si="60"/>
        <v>0</v>
      </c>
      <c r="P255" s="113">
        <f t="shared" si="61"/>
        <v>0</v>
      </c>
    </row>
    <row r="258" spans="12:16">
      <c r="N258" t="s">
        <v>25</v>
      </c>
      <c r="O258" t="s">
        <v>25</v>
      </c>
    </row>
    <row r="259" spans="12:16">
      <c r="L259" t="s">
        <v>25</v>
      </c>
      <c r="N259" t="s">
        <v>25</v>
      </c>
      <c r="O259" t="s">
        <v>25</v>
      </c>
    </row>
    <row r="260" spans="12:16">
      <c r="P260" t="s">
        <v>25</v>
      </c>
    </row>
    <row r="261" spans="12:16">
      <c r="N261" t="s">
        <v>25</v>
      </c>
      <c r="O261" t="s">
        <v>25</v>
      </c>
    </row>
    <row r="262" spans="12:16">
      <c r="N262" t="s">
        <v>25</v>
      </c>
      <c r="O262" t="s">
        <v>25</v>
      </c>
    </row>
    <row r="264" spans="12:16">
      <c r="N26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5284</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5284</v>
      </c>
      <c r="I34" s="11">
        <v>257000</v>
      </c>
      <c r="J34" s="11" t="s">
        <v>567</v>
      </c>
    </row>
    <row r="35" spans="6:23">
      <c r="G35" s="11">
        <f t="shared" si="5"/>
        <v>1000</v>
      </c>
      <c r="H35" s="11" t="s">
        <v>5284</v>
      </c>
      <c r="I35" s="11">
        <v>257000</v>
      </c>
      <c r="J35" s="11" t="s">
        <v>568</v>
      </c>
    </row>
    <row r="36" spans="6:23">
      <c r="F36" t="s">
        <v>25</v>
      </c>
      <c r="G36" s="11">
        <f t="shared" si="5"/>
        <v>39000</v>
      </c>
      <c r="H36" s="11" t="s">
        <v>642</v>
      </c>
      <c r="I36" s="11">
        <v>219000</v>
      </c>
      <c r="J36" s="11" t="s">
        <v>641</v>
      </c>
      <c r="O36" s="22"/>
    </row>
    <row r="37" spans="6:23">
      <c r="G37" s="11">
        <f t="shared" si="5"/>
        <v>0</v>
      </c>
      <c r="H37" s="11" t="s">
        <v>5353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5284</v>
      </c>
      <c r="I47" s="99">
        <v>257000</v>
      </c>
      <c r="J47" s="99" t="s">
        <v>5339</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5164</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5162</v>
      </c>
      <c r="I24" s="213" t="s">
        <v>5163</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5254</v>
      </c>
      <c r="D28" s="96" t="s">
        <v>5260</v>
      </c>
      <c r="E28" t="s">
        <v>5261</v>
      </c>
      <c r="F28" t="s">
        <v>5263</v>
      </c>
      <c r="G28" t="s">
        <v>5264</v>
      </c>
      <c r="O28" s="99" t="s">
        <v>5122</v>
      </c>
      <c r="P28" s="18">
        <v>100000</v>
      </c>
      <c r="Q28" s="99">
        <v>1</v>
      </c>
      <c r="R28" s="99"/>
      <c r="S28" s="96"/>
      <c r="T28" s="96"/>
    </row>
    <row r="29" spans="1:22">
      <c r="C29" s="96" t="s">
        <v>5259</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5265</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5266</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5267</v>
      </c>
      <c r="D32" s="96">
        <v>235</v>
      </c>
      <c r="E32" s="96">
        <v>1</v>
      </c>
      <c r="F32" s="96">
        <f t="shared" ref="F32:F35" si="7">D32*E32*$D$40</f>
        <v>235000000</v>
      </c>
      <c r="G32" s="96">
        <f t="shared" si="6"/>
        <v>2679</v>
      </c>
      <c r="O32" s="99" t="s">
        <v>5144</v>
      </c>
      <c r="P32" s="18">
        <v>1500000</v>
      </c>
      <c r="Q32" s="99">
        <v>16</v>
      </c>
      <c r="R32" s="99"/>
      <c r="S32" s="96"/>
      <c r="T32" s="96"/>
    </row>
    <row r="33" spans="1:22">
      <c r="A33" s="96"/>
      <c r="B33" s="96"/>
      <c r="C33" s="96" t="s">
        <v>5268</v>
      </c>
      <c r="D33" s="96">
        <v>500</v>
      </c>
      <c r="E33" s="96">
        <v>0.6</v>
      </c>
      <c r="F33" s="96">
        <f t="shared" si="7"/>
        <v>300000000</v>
      </c>
      <c r="G33" s="96">
        <f t="shared" si="6"/>
        <v>3420</v>
      </c>
      <c r="O33" s="99" t="s">
        <v>5129</v>
      </c>
      <c r="P33" s="18">
        <v>6000000</v>
      </c>
      <c r="Q33" s="99">
        <v>8</v>
      </c>
      <c r="R33" s="99"/>
      <c r="S33" s="96"/>
      <c r="T33" s="96"/>
    </row>
    <row r="34" spans="1:22">
      <c r="A34" s="96"/>
      <c r="B34" s="96"/>
      <c r="C34" s="96" t="s">
        <v>5269</v>
      </c>
      <c r="D34" s="96">
        <v>903</v>
      </c>
      <c r="E34" s="96">
        <v>1</v>
      </c>
      <c r="F34" s="96">
        <f t="shared" si="7"/>
        <v>903000000</v>
      </c>
      <c r="G34" s="96">
        <f t="shared" si="6"/>
        <v>10294.200000000001</v>
      </c>
      <c r="O34" s="99" t="s">
        <v>5193</v>
      </c>
      <c r="P34" s="18">
        <v>-50000</v>
      </c>
      <c r="Q34" s="99">
        <v>3</v>
      </c>
      <c r="R34" s="99"/>
      <c r="S34" s="96"/>
      <c r="T34" s="96"/>
    </row>
    <row r="35" spans="1:22">
      <c r="A35" s="96"/>
      <c r="B35" s="96"/>
      <c r="E35" s="96"/>
      <c r="F35" s="96">
        <f t="shared" si="7"/>
        <v>0</v>
      </c>
      <c r="G35" s="96">
        <f t="shared" si="6"/>
        <v>0</v>
      </c>
      <c r="O35" s="99" t="s">
        <v>5198</v>
      </c>
      <c r="P35" s="18">
        <v>-20000</v>
      </c>
      <c r="Q35" s="99">
        <v>7</v>
      </c>
      <c r="R35" s="99"/>
      <c r="S35" s="96"/>
      <c r="T35" s="96"/>
    </row>
    <row r="36" spans="1:22">
      <c r="A36" s="96"/>
      <c r="B36" s="96"/>
      <c r="E36" s="96"/>
      <c r="F36" s="96"/>
      <c r="G36" s="96"/>
      <c r="N36" t="s">
        <v>25</v>
      </c>
      <c r="O36" s="99" t="s">
        <v>5146</v>
      </c>
      <c r="P36" s="18">
        <v>6000000</v>
      </c>
      <c r="Q36" s="99">
        <v>1</v>
      </c>
      <c r="R36" s="99"/>
      <c r="S36" s="96"/>
      <c r="T36" s="96"/>
      <c r="V36" t="s">
        <v>25</v>
      </c>
    </row>
    <row r="37" spans="1:22">
      <c r="A37" s="96"/>
      <c r="B37" s="96"/>
      <c r="E37" s="96"/>
      <c r="F37" s="96"/>
      <c r="G37" s="96"/>
      <c r="O37" s="99" t="s">
        <v>5220</v>
      </c>
      <c r="P37" s="18">
        <v>-2302282</v>
      </c>
      <c r="Q37" s="99">
        <v>6</v>
      </c>
      <c r="R37" s="99"/>
      <c r="S37" s="96"/>
      <c r="T37" s="96"/>
    </row>
    <row r="38" spans="1:22">
      <c r="A38" s="96"/>
      <c r="B38" s="96"/>
      <c r="E38" s="96"/>
      <c r="F38" s="96"/>
      <c r="O38" s="99" t="s">
        <v>5229</v>
      </c>
      <c r="P38" s="18">
        <v>100000</v>
      </c>
      <c r="Q38" s="99">
        <v>1</v>
      </c>
      <c r="R38" s="99"/>
      <c r="S38" s="96"/>
      <c r="T38" s="96"/>
    </row>
    <row r="39" spans="1:22">
      <c r="A39" s="96"/>
      <c r="B39" s="96"/>
      <c r="C39" s="96" t="s">
        <v>5255</v>
      </c>
      <c r="D39" s="96" t="s">
        <v>5256</v>
      </c>
      <c r="E39" s="96"/>
      <c r="F39" s="96"/>
      <c r="O39" s="99" t="s">
        <v>5234</v>
      </c>
      <c r="P39" s="18">
        <v>-1727718</v>
      </c>
      <c r="Q39" s="99">
        <v>2</v>
      </c>
      <c r="R39" s="99"/>
      <c r="S39" s="96"/>
      <c r="T39" s="96"/>
      <c r="V39" t="s">
        <v>25</v>
      </c>
    </row>
    <row r="40" spans="1:22">
      <c r="A40" s="96"/>
      <c r="B40" s="96"/>
      <c r="C40" s="96" t="s">
        <v>5262</v>
      </c>
      <c r="D40" s="96">
        <v>1000000</v>
      </c>
      <c r="E40" s="96"/>
      <c r="F40" s="96"/>
      <c r="O40" s="99" t="s">
        <v>5239</v>
      </c>
      <c r="P40" s="18">
        <v>-1000000</v>
      </c>
      <c r="Q40" s="99">
        <v>0</v>
      </c>
      <c r="R40" s="99"/>
      <c r="S40" s="96"/>
      <c r="T40" s="96"/>
    </row>
    <row r="41" spans="1:22">
      <c r="A41" s="96"/>
      <c r="B41" s="96"/>
      <c r="C41" s="96" t="s">
        <v>5257</v>
      </c>
      <c r="D41" s="96" t="s">
        <v>5258</v>
      </c>
      <c r="E41" s="96"/>
      <c r="F41" s="96"/>
      <c r="O41" s="99" t="s">
        <v>5239</v>
      </c>
      <c r="P41" s="18">
        <v>-439200</v>
      </c>
      <c r="Q41" s="99">
        <v>1</v>
      </c>
      <c r="R41" s="99"/>
      <c r="S41" s="96"/>
      <c r="T41" s="96"/>
    </row>
    <row r="42" spans="1:22">
      <c r="A42" s="96"/>
      <c r="B42" s="96"/>
      <c r="E42" s="96"/>
      <c r="F42" s="96"/>
      <c r="O42" s="99" t="s">
        <v>5245</v>
      </c>
      <c r="P42" s="18">
        <v>-3631879</v>
      </c>
      <c r="Q42" s="99">
        <v>3</v>
      </c>
      <c r="R42" s="99"/>
      <c r="S42" s="96"/>
      <c r="T42" s="96"/>
    </row>
    <row r="43" spans="1:22">
      <c r="A43" s="96"/>
      <c r="B43" s="96"/>
      <c r="E43" s="96"/>
      <c r="F43" s="96"/>
      <c r="O43" s="99" t="s">
        <v>5273</v>
      </c>
      <c r="P43" s="18">
        <v>-2428921</v>
      </c>
      <c r="Q43" s="99">
        <v>9</v>
      </c>
      <c r="R43" s="99"/>
      <c r="S43" s="96"/>
      <c r="T43" s="96"/>
    </row>
    <row r="44" spans="1:22">
      <c r="A44" s="96"/>
      <c r="B44" s="96"/>
      <c r="E44" s="96"/>
      <c r="F44" s="96"/>
      <c r="O44" s="99" t="s">
        <v>5308</v>
      </c>
      <c r="P44" s="18">
        <v>-500000</v>
      </c>
      <c r="Q44" s="99">
        <v>1</v>
      </c>
      <c r="R44" s="99"/>
      <c r="S44" s="96"/>
      <c r="T44" s="96"/>
    </row>
    <row r="45" spans="1:22">
      <c r="A45" s="96"/>
      <c r="B45" s="96"/>
      <c r="E45" s="96"/>
      <c r="F45" s="96"/>
      <c r="O45" s="99" t="s">
        <v>5309</v>
      </c>
      <c r="P45" s="18">
        <v>-2603</v>
      </c>
      <c r="Q45" s="99">
        <v>0</v>
      </c>
      <c r="R45" s="99" t="s">
        <v>5311</v>
      </c>
      <c r="S45" s="96"/>
      <c r="T45" s="96"/>
    </row>
    <row r="46" spans="1:22">
      <c r="A46" s="96"/>
      <c r="B46" s="96"/>
      <c r="E46" s="96"/>
      <c r="F46" s="96"/>
      <c r="O46" s="99" t="s">
        <v>5309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5337</v>
      </c>
      <c r="P48" s="18">
        <v>300000</v>
      </c>
      <c r="Q48" s="99">
        <v>3</v>
      </c>
      <c r="R48" s="99"/>
      <c r="S48" s="96"/>
      <c r="T48" s="96"/>
    </row>
    <row r="49" spans="1:20">
      <c r="A49" s="96"/>
      <c r="B49" s="96"/>
      <c r="E49" s="96"/>
      <c r="F49" s="96"/>
      <c r="O49" s="99" t="s">
        <v>5347</v>
      </c>
      <c r="P49" s="18">
        <v>-50000</v>
      </c>
      <c r="Q49" s="99">
        <v>3</v>
      </c>
      <c r="R49" s="99"/>
      <c r="S49" s="96"/>
      <c r="T49" s="96"/>
    </row>
    <row r="50" spans="1:20">
      <c r="A50" s="96"/>
      <c r="B50" s="96"/>
      <c r="E50" s="96"/>
      <c r="F50" s="96"/>
      <c r="O50" s="99" t="s">
        <v>5353</v>
      </c>
      <c r="P50" s="18">
        <v>-1683146</v>
      </c>
      <c r="Q50" s="99">
        <v>10</v>
      </c>
      <c r="R50" s="99"/>
      <c r="S50" s="96"/>
      <c r="T50" s="96"/>
    </row>
    <row r="51" spans="1:20">
      <c r="A51" s="96"/>
      <c r="B51" s="96"/>
      <c r="E51" s="96"/>
      <c r="F51" s="96"/>
      <c r="O51" s="99" t="s">
        <v>5374</v>
      </c>
      <c r="P51" s="18">
        <v>700000</v>
      </c>
      <c r="Q51" s="99">
        <v>1</v>
      </c>
      <c r="R51" s="99"/>
      <c r="S51" s="96"/>
      <c r="T51" s="96"/>
    </row>
    <row r="52" spans="1:20">
      <c r="A52" s="96"/>
      <c r="B52" s="96"/>
      <c r="E52" s="96"/>
      <c r="F52" s="96"/>
      <c r="O52" s="99" t="s">
        <v>5390</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78" workbookViewId="0">
      <selection activeCell="D106" sqref="D10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5145</v>
      </c>
      <c r="F79" s="96"/>
      <c r="G79" s="96"/>
      <c r="H79" s="96"/>
      <c r="I79" s="96"/>
      <c r="J79" s="96"/>
      <c r="K79" s="96"/>
      <c r="L79" s="96"/>
      <c r="M79" s="96"/>
      <c r="N79" s="96"/>
      <c r="O79" s="96"/>
      <c r="P79" s="96"/>
      <c r="Q79" s="96"/>
      <c r="R79" s="96"/>
      <c r="S79" s="96"/>
      <c r="T79" s="96"/>
      <c r="U79" s="96"/>
    </row>
    <row r="80" spans="1:21">
      <c r="A80" s="96"/>
      <c r="B80" s="96"/>
      <c r="C80" s="96"/>
      <c r="D80" s="18">
        <v>50000</v>
      </c>
      <c r="E80" s="255" t="s">
        <v>5157</v>
      </c>
      <c r="F80" s="96"/>
      <c r="G80" s="96"/>
      <c r="H80" s="96"/>
      <c r="I80" s="96"/>
      <c r="J80" s="96"/>
      <c r="K80" s="96"/>
      <c r="L80" s="96"/>
      <c r="M80" s="96"/>
      <c r="N80" s="96"/>
      <c r="O80" s="96"/>
      <c r="P80" s="96"/>
      <c r="Q80" s="96"/>
      <c r="R80" s="96"/>
      <c r="S80" s="96"/>
      <c r="T80" s="96"/>
      <c r="U80" s="96"/>
    </row>
    <row r="81" spans="1:21">
      <c r="A81" s="96"/>
      <c r="B81" s="96"/>
      <c r="C81" s="96"/>
      <c r="D81" s="18">
        <v>500000</v>
      </c>
      <c r="E81" s="255" t="s">
        <v>5174</v>
      </c>
      <c r="F81" s="96"/>
      <c r="G81" s="96"/>
      <c r="H81" s="96"/>
      <c r="I81" s="96"/>
      <c r="J81" s="96"/>
      <c r="K81" s="96"/>
      <c r="L81" s="96"/>
      <c r="M81" s="96"/>
      <c r="N81" s="96"/>
      <c r="O81" s="96"/>
      <c r="P81" s="96"/>
      <c r="Q81" s="96"/>
      <c r="R81" s="96"/>
      <c r="S81" s="96"/>
      <c r="T81" s="96"/>
      <c r="U81" s="96"/>
    </row>
    <row r="82" spans="1:21">
      <c r="A82" s="96"/>
      <c r="B82" s="96"/>
      <c r="C82" s="96"/>
      <c r="D82" s="18">
        <v>1500000</v>
      </c>
      <c r="E82" s="255" t="s">
        <v>5173</v>
      </c>
      <c r="F82" s="96"/>
      <c r="G82" s="96"/>
      <c r="H82" s="96"/>
      <c r="I82" s="96"/>
      <c r="J82" s="96"/>
      <c r="K82" s="96"/>
      <c r="L82" s="96"/>
      <c r="M82" s="96"/>
      <c r="N82" s="96"/>
      <c r="O82" s="96"/>
      <c r="P82" s="96"/>
      <c r="Q82" s="96"/>
      <c r="R82" s="96"/>
      <c r="S82" s="96"/>
      <c r="T82" s="96"/>
      <c r="U82" s="96"/>
    </row>
    <row r="83" spans="1:21">
      <c r="D83" s="18">
        <v>-510000</v>
      </c>
      <c r="E83" s="255" t="s">
        <v>5175</v>
      </c>
      <c r="H83" t="s">
        <v>25</v>
      </c>
    </row>
    <row r="84" spans="1:21">
      <c r="D84" s="18">
        <v>-400000</v>
      </c>
      <c r="E84" s="255" t="s">
        <v>5194</v>
      </c>
    </row>
    <row r="85" spans="1:21">
      <c r="D85" s="18">
        <v>250000</v>
      </c>
      <c r="E85" s="255" t="s">
        <v>5203</v>
      </c>
    </row>
    <row r="86" spans="1:21">
      <c r="D86" s="18">
        <v>-50000</v>
      </c>
      <c r="E86" s="255" t="s">
        <v>5204</v>
      </c>
    </row>
    <row r="87" spans="1:21">
      <c r="D87" s="18">
        <v>-300000</v>
      </c>
      <c r="E87" s="255" t="s">
        <v>5208</v>
      </c>
    </row>
    <row r="88" spans="1:21">
      <c r="D88" s="18">
        <v>-100000</v>
      </c>
      <c r="E88" s="255" t="s">
        <v>5228</v>
      </c>
      <c r="I88" t="s">
        <v>25</v>
      </c>
    </row>
    <row r="89" spans="1:21">
      <c r="D89" s="18">
        <v>-250000</v>
      </c>
      <c r="E89" s="255" t="s">
        <v>5244</v>
      </c>
    </row>
    <row r="90" spans="1:21">
      <c r="D90" s="18">
        <v>-45000</v>
      </c>
      <c r="E90" s="255" t="s">
        <v>5270</v>
      </c>
    </row>
    <row r="91" spans="1:21">
      <c r="D91" s="18">
        <v>3000000</v>
      </c>
      <c r="E91" s="255" t="s">
        <v>5271</v>
      </c>
      <c r="I91" t="s">
        <v>25</v>
      </c>
    </row>
    <row r="92" spans="1:21">
      <c r="D92" s="18">
        <v>-550000</v>
      </c>
      <c r="E92" s="255" t="s">
        <v>5272</v>
      </c>
    </row>
    <row r="93" spans="1:21">
      <c r="D93" s="18">
        <v>-200000</v>
      </c>
      <c r="E93" s="255" t="s">
        <v>5295</v>
      </c>
      <c r="G93" t="s">
        <v>25</v>
      </c>
    </row>
    <row r="94" spans="1:21">
      <c r="D94" s="18">
        <v>-30500</v>
      </c>
      <c r="E94" s="255" t="s">
        <v>5297</v>
      </c>
    </row>
    <row r="95" spans="1:21">
      <c r="D95" s="18">
        <v>2500000</v>
      </c>
      <c r="E95" s="255" t="s">
        <v>5352</v>
      </c>
      <c r="I95" t="s">
        <v>25</v>
      </c>
    </row>
    <row r="96" spans="1:21">
      <c r="D96" s="18">
        <v>-230000</v>
      </c>
      <c r="E96" s="255" t="s">
        <v>5363</v>
      </c>
    </row>
    <row r="97" spans="4:10">
      <c r="D97" s="18">
        <v>-168950</v>
      </c>
      <c r="E97" s="255" t="s">
        <v>4402</v>
      </c>
      <c r="J97" t="s">
        <v>25</v>
      </c>
    </row>
    <row r="98" spans="4:10">
      <c r="D98" s="18">
        <v>-250000</v>
      </c>
      <c r="E98" s="255" t="s">
        <v>5378</v>
      </c>
    </row>
    <row r="99" spans="4:10">
      <c r="D99" s="18">
        <v>500000</v>
      </c>
      <c r="E99" s="255" t="s">
        <v>5393</v>
      </c>
    </row>
    <row r="100" spans="4:10">
      <c r="D100" s="18">
        <v>-520000</v>
      </c>
      <c r="E100" s="255" t="s">
        <v>5392</v>
      </c>
      <c r="J100" t="s">
        <v>25</v>
      </c>
    </row>
    <row r="101" spans="4:10">
      <c r="D101" s="18">
        <v>500000</v>
      </c>
      <c r="E101" s="255" t="s">
        <v>5406</v>
      </c>
    </row>
    <row r="102" spans="4:10">
      <c r="D102" s="18">
        <v>-200000</v>
      </c>
      <c r="E102" s="255" t="s">
        <v>5410</v>
      </c>
    </row>
    <row r="103" spans="4:10">
      <c r="D103" s="18">
        <v>-300000</v>
      </c>
      <c r="E103" s="255" t="s">
        <v>5411</v>
      </c>
    </row>
    <row r="104" spans="4:10">
      <c r="D104" s="18"/>
      <c r="E104" s="255"/>
    </row>
    <row r="105" spans="4:10">
      <c r="D105" s="18"/>
      <c r="E105" s="255"/>
    </row>
    <row r="106" spans="4:10">
      <c r="D106" s="18"/>
      <c r="E106" s="96"/>
    </row>
    <row r="107" spans="4:10">
      <c r="D107" s="18"/>
      <c r="E107" s="96" t="s">
        <v>25</v>
      </c>
      <c r="G107" t="s">
        <v>25</v>
      </c>
    </row>
    <row r="108" spans="4:10">
      <c r="D108" s="18">
        <f>SUM(D40:D107)</f>
        <v>27611459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4" t="s">
        <v>1086</v>
      </c>
      <c r="R21" s="284"/>
      <c r="S21" s="284"/>
      <c r="T21" s="284"/>
      <c r="U21" s="96"/>
      <c r="V21" s="96"/>
      <c r="W21" s="41" t="s">
        <v>5077</v>
      </c>
      <c r="X21" s="41">
        <v>9035210431</v>
      </c>
      <c r="Y21" s="41">
        <v>50</v>
      </c>
      <c r="Z21" s="41"/>
    </row>
    <row r="22" spans="5:35">
      <c r="O22" s="99"/>
      <c r="P22" s="99"/>
      <c r="Q22" s="284"/>
      <c r="R22" s="284"/>
      <c r="S22" s="284"/>
      <c r="T22" s="284"/>
      <c r="U22" s="96"/>
      <c r="V22" s="96"/>
      <c r="W22" s="41" t="s">
        <v>5187</v>
      </c>
      <c r="X22" s="41">
        <v>9909620343</v>
      </c>
      <c r="Y22" s="41">
        <v>100</v>
      </c>
      <c r="Z22" s="41"/>
    </row>
    <row r="23" spans="5:35" ht="15.75">
      <c r="O23" s="178"/>
      <c r="P23" s="99" t="s">
        <v>4083</v>
      </c>
      <c r="Q23" s="285" t="s">
        <v>1087</v>
      </c>
      <c r="R23" s="286" t="s">
        <v>1088</v>
      </c>
      <c r="S23" s="285" t="s">
        <v>1089</v>
      </c>
      <c r="T23" s="287" t="s">
        <v>1090</v>
      </c>
      <c r="W23" s="41" t="s">
        <v>5188</v>
      </c>
      <c r="X23" s="41">
        <v>9378807702</v>
      </c>
      <c r="Y23" s="41">
        <v>0</v>
      </c>
      <c r="Z23" s="41"/>
      <c r="AD23" t="s">
        <v>25</v>
      </c>
    </row>
    <row r="24" spans="5:35">
      <c r="O24" s="99"/>
      <c r="P24" s="99"/>
      <c r="Q24" s="285"/>
      <c r="R24" s="286"/>
      <c r="S24" s="285"/>
      <c r="T24" s="287"/>
      <c r="W24" s="41" t="s">
        <v>5219</v>
      </c>
      <c r="X24" s="41"/>
      <c r="Y24" s="41">
        <v>200</v>
      </c>
      <c r="Z24" s="41">
        <v>2</v>
      </c>
    </row>
    <row r="25" spans="5:35">
      <c r="O25" s="173" t="s">
        <v>4139</v>
      </c>
      <c r="P25" s="173">
        <v>2182188507</v>
      </c>
      <c r="Q25" s="174" t="s">
        <v>1091</v>
      </c>
      <c r="R25" s="174" t="s">
        <v>4084</v>
      </c>
      <c r="S25" s="174" t="s">
        <v>4089</v>
      </c>
      <c r="T25" s="174" t="s">
        <v>1092</v>
      </c>
      <c r="W25" s="41" t="s">
        <v>5248</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5180</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5166</v>
      </c>
      <c r="B302" s="113">
        <v>4000000</v>
      </c>
      <c r="C302" s="99">
        <v>1</v>
      </c>
      <c r="D302" s="99">
        <f t="shared" si="15"/>
        <v>100</v>
      </c>
      <c r="E302" s="99">
        <f t="shared" si="16"/>
        <v>0</v>
      </c>
      <c r="F302" s="99">
        <f t="shared" si="9"/>
        <v>400000000</v>
      </c>
      <c r="G302" s="99"/>
    </row>
    <row r="303" spans="1:10">
      <c r="A303" s="99" t="s">
        <v>5171</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5178</v>
      </c>
      <c r="B305" s="113">
        <v>-63857</v>
      </c>
      <c r="C305" s="99">
        <v>0</v>
      </c>
      <c r="D305" s="99">
        <f t="shared" si="15"/>
        <v>97</v>
      </c>
      <c r="E305" s="99">
        <f t="shared" si="16"/>
        <v>0</v>
      </c>
      <c r="F305" s="99">
        <f t="shared" si="9"/>
        <v>-6194129</v>
      </c>
      <c r="G305" s="99"/>
    </row>
    <row r="306" spans="1:11">
      <c r="A306" s="99" t="s">
        <v>5181</v>
      </c>
      <c r="B306" s="113">
        <v>-631</v>
      </c>
      <c r="C306" s="99">
        <v>2</v>
      </c>
      <c r="D306" s="99">
        <f t="shared" si="15"/>
        <v>97</v>
      </c>
      <c r="E306" s="99">
        <f t="shared" si="16"/>
        <v>0</v>
      </c>
      <c r="F306" s="99">
        <f t="shared" si="9"/>
        <v>-61207</v>
      </c>
      <c r="G306" s="99" t="s">
        <v>506</v>
      </c>
      <c r="J306" t="s">
        <v>25</v>
      </c>
    </row>
    <row r="307" spans="1:11">
      <c r="A307" s="99" t="s">
        <v>5186</v>
      </c>
      <c r="B307" s="113">
        <v>-248905</v>
      </c>
      <c r="C307" s="99">
        <v>2</v>
      </c>
      <c r="D307" s="99">
        <f t="shared" ref="D307:D318" si="17">D308+C307</f>
        <v>95</v>
      </c>
      <c r="E307" s="99">
        <f t="shared" ref="E307:E318" si="18">IF(B308&gt;0,1,0)</f>
        <v>0</v>
      </c>
      <c r="F307" s="99">
        <f t="shared" si="9"/>
        <v>-23645975</v>
      </c>
      <c r="G307" s="99"/>
    </row>
    <row r="308" spans="1:11">
      <c r="A308" s="99" t="s">
        <v>5184</v>
      </c>
      <c r="B308" s="113">
        <v>-200000</v>
      </c>
      <c r="C308" s="99">
        <v>0</v>
      </c>
      <c r="D308" s="99">
        <f t="shared" si="17"/>
        <v>93</v>
      </c>
      <c r="E308" s="99">
        <f t="shared" si="18"/>
        <v>0</v>
      </c>
      <c r="F308" s="99">
        <f t="shared" si="9"/>
        <v>-18600000</v>
      </c>
      <c r="G308" s="99"/>
    </row>
    <row r="309" spans="1:11">
      <c r="A309" s="99" t="s">
        <v>5184</v>
      </c>
      <c r="B309" s="113">
        <v>-200000</v>
      </c>
      <c r="C309" s="99">
        <v>3</v>
      </c>
      <c r="D309" s="99">
        <f t="shared" si="17"/>
        <v>93</v>
      </c>
      <c r="E309" s="99">
        <f t="shared" si="18"/>
        <v>0</v>
      </c>
      <c r="F309" s="99">
        <f t="shared" si="9"/>
        <v>-18600000</v>
      </c>
      <c r="G309" s="99"/>
    </row>
    <row r="310" spans="1:11">
      <c r="A310" s="99" t="s">
        <v>5193</v>
      </c>
      <c r="B310" s="113">
        <v>-832590</v>
      </c>
      <c r="C310" s="99">
        <v>0</v>
      </c>
      <c r="D310" s="99">
        <f t="shared" si="17"/>
        <v>90</v>
      </c>
      <c r="E310" s="99">
        <f t="shared" si="18"/>
        <v>0</v>
      </c>
      <c r="F310" s="99">
        <f t="shared" si="9"/>
        <v>-74933100</v>
      </c>
      <c r="G310" s="99"/>
    </row>
    <row r="311" spans="1:11">
      <c r="A311" s="99" t="s">
        <v>5193</v>
      </c>
      <c r="B311" s="113">
        <v>-29950</v>
      </c>
      <c r="C311" s="99">
        <v>1</v>
      </c>
      <c r="D311" s="99">
        <f t="shared" si="17"/>
        <v>90</v>
      </c>
      <c r="E311" s="99">
        <f t="shared" si="18"/>
        <v>0</v>
      </c>
      <c r="F311" s="99">
        <f t="shared" si="9"/>
        <v>-2695500</v>
      </c>
      <c r="G311" s="99"/>
      <c r="K311" t="s">
        <v>25</v>
      </c>
    </row>
    <row r="312" spans="1:11">
      <c r="A312" s="99" t="s">
        <v>5251</v>
      </c>
      <c r="B312" s="113">
        <v>-8500</v>
      </c>
      <c r="C312" s="99">
        <v>1</v>
      </c>
      <c r="D312" s="99">
        <f t="shared" si="17"/>
        <v>89</v>
      </c>
      <c r="E312" s="99">
        <f t="shared" si="18"/>
        <v>0</v>
      </c>
      <c r="F312" s="99">
        <f t="shared" si="9"/>
        <v>-756500</v>
      </c>
      <c r="G312" s="99"/>
    </row>
    <row r="313" spans="1:11">
      <c r="A313" s="99" t="s">
        <v>5215</v>
      </c>
      <c r="B313" s="113">
        <v>-116300</v>
      </c>
      <c r="C313" s="99">
        <v>1</v>
      </c>
      <c r="D313" s="99">
        <f t="shared" si="17"/>
        <v>88</v>
      </c>
      <c r="E313" s="99">
        <f t="shared" si="18"/>
        <v>0</v>
      </c>
      <c r="F313" s="99">
        <f t="shared" si="9"/>
        <v>-10234400</v>
      </c>
      <c r="G313" s="99"/>
    </row>
    <row r="314" spans="1:11">
      <c r="A314" s="99" t="s">
        <v>5198</v>
      </c>
      <c r="B314" s="113">
        <v>-75500</v>
      </c>
      <c r="C314" s="99">
        <v>1</v>
      </c>
      <c r="D314" s="99">
        <f t="shared" si="17"/>
        <v>87</v>
      </c>
      <c r="E314" s="99">
        <f t="shared" si="18"/>
        <v>0</v>
      </c>
      <c r="F314" s="99">
        <f t="shared" ref="F314:F331" si="19">B314*(D314-E314)</f>
        <v>-6568500</v>
      </c>
      <c r="G314" s="99"/>
    </row>
    <row r="315" spans="1:11">
      <c r="A315" s="99" t="s">
        <v>5209</v>
      </c>
      <c r="B315" s="113">
        <v>-331250</v>
      </c>
      <c r="C315" s="99">
        <v>2</v>
      </c>
      <c r="D315" s="99">
        <f t="shared" si="17"/>
        <v>86</v>
      </c>
      <c r="E315" s="99">
        <f t="shared" si="18"/>
        <v>0</v>
      </c>
      <c r="F315" s="99">
        <f t="shared" si="19"/>
        <v>-28487500</v>
      </c>
      <c r="G315" s="99"/>
    </row>
    <row r="316" spans="1:11">
      <c r="A316" s="99" t="s">
        <v>5252</v>
      </c>
      <c r="B316" s="113">
        <v>-39000</v>
      </c>
      <c r="C316" s="99">
        <v>1</v>
      </c>
      <c r="D316" s="99">
        <f t="shared" si="17"/>
        <v>84</v>
      </c>
      <c r="E316" s="99">
        <f t="shared" si="18"/>
        <v>0</v>
      </c>
      <c r="F316" s="99">
        <f t="shared" si="19"/>
        <v>-3276000</v>
      </c>
      <c r="G316" s="99"/>
      <c r="I316" s="114"/>
    </row>
    <row r="317" spans="1:11">
      <c r="A317" s="99" t="s">
        <v>5211</v>
      </c>
      <c r="B317" s="113">
        <v>-44000</v>
      </c>
      <c r="C317" s="99">
        <v>3</v>
      </c>
      <c r="D317" s="99">
        <f t="shared" si="17"/>
        <v>83</v>
      </c>
      <c r="E317" s="99">
        <f t="shared" si="18"/>
        <v>0</v>
      </c>
      <c r="F317" s="99">
        <f t="shared" si="19"/>
        <v>-3652000</v>
      </c>
      <c r="G317" s="99"/>
      <c r="J317" t="s">
        <v>25</v>
      </c>
    </row>
    <row r="318" spans="1:11">
      <c r="A318" s="99" t="s">
        <v>5146</v>
      </c>
      <c r="B318" s="113">
        <v>-30476</v>
      </c>
      <c r="C318" s="99">
        <v>1</v>
      </c>
      <c r="D318" s="99">
        <f t="shared" si="17"/>
        <v>80</v>
      </c>
      <c r="E318" s="99">
        <f t="shared" si="18"/>
        <v>0</v>
      </c>
      <c r="F318" s="99">
        <f t="shared" si="19"/>
        <v>-2438080</v>
      </c>
      <c r="G318" s="99"/>
    </row>
    <row r="319" spans="1:11">
      <c r="A319" s="99" t="s">
        <v>5220</v>
      </c>
      <c r="B319" s="113">
        <v>-4000</v>
      </c>
      <c r="C319" s="99">
        <v>11</v>
      </c>
      <c r="D319" s="99">
        <f t="shared" ref="D319:D326" si="20">D320+C319</f>
        <v>79</v>
      </c>
      <c r="E319" s="99">
        <f t="shared" ref="E319:E326" si="21">IF(B320&gt;0,1,0)</f>
        <v>1</v>
      </c>
      <c r="F319" s="99">
        <f t="shared" si="19"/>
        <v>-312000</v>
      </c>
      <c r="G319" s="99"/>
    </row>
    <row r="320" spans="1:11">
      <c r="A320" s="99" t="s">
        <v>5253</v>
      </c>
      <c r="B320" s="113">
        <v>6300000</v>
      </c>
      <c r="C320" s="99">
        <v>1</v>
      </c>
      <c r="D320" s="99">
        <f t="shared" si="20"/>
        <v>68</v>
      </c>
      <c r="E320" s="99">
        <f t="shared" si="21"/>
        <v>0</v>
      </c>
      <c r="F320" s="99">
        <f t="shared" si="19"/>
        <v>428400000</v>
      </c>
      <c r="G320" s="99"/>
    </row>
    <row r="321" spans="1:9">
      <c r="A321" s="99" t="s">
        <v>5282</v>
      </c>
      <c r="B321" s="113">
        <v>-6000000</v>
      </c>
      <c r="C321" s="99">
        <v>2</v>
      </c>
      <c r="D321" s="99">
        <f t="shared" si="20"/>
        <v>67</v>
      </c>
      <c r="E321" s="99">
        <f t="shared" si="21"/>
        <v>0</v>
      </c>
      <c r="F321" s="99">
        <f t="shared" si="19"/>
        <v>-402000000</v>
      </c>
      <c r="G321" s="99"/>
    </row>
    <row r="322" spans="1:9">
      <c r="A322" s="99" t="s">
        <v>5278</v>
      </c>
      <c r="B322" s="113">
        <v>-295000</v>
      </c>
      <c r="C322" s="99">
        <v>0</v>
      </c>
      <c r="D322" s="99">
        <f t="shared" si="20"/>
        <v>65</v>
      </c>
      <c r="E322" s="99">
        <f t="shared" si="21"/>
        <v>1</v>
      </c>
      <c r="F322" s="99">
        <f t="shared" si="19"/>
        <v>-18880000</v>
      </c>
      <c r="G322" s="99"/>
    </row>
    <row r="323" spans="1:9">
      <c r="A323" s="99" t="s">
        <v>5278</v>
      </c>
      <c r="B323" s="113">
        <v>483</v>
      </c>
      <c r="C323" s="99">
        <v>8</v>
      </c>
      <c r="D323" s="99">
        <f t="shared" si="20"/>
        <v>65</v>
      </c>
      <c r="E323" s="99">
        <f t="shared" si="21"/>
        <v>1</v>
      </c>
      <c r="F323" s="99">
        <f t="shared" si="19"/>
        <v>30912</v>
      </c>
      <c r="G323" s="99" t="s">
        <v>694</v>
      </c>
      <c r="I323" t="s">
        <v>25</v>
      </c>
    </row>
    <row r="324" spans="1:9">
      <c r="A324" s="99" t="s">
        <v>5308</v>
      </c>
      <c r="B324" s="113">
        <v>1700000</v>
      </c>
      <c r="C324" s="99">
        <v>0</v>
      </c>
      <c r="D324" s="99">
        <f t="shared" si="20"/>
        <v>57</v>
      </c>
      <c r="E324" s="99">
        <f t="shared" si="21"/>
        <v>0</v>
      </c>
      <c r="F324" s="99">
        <f t="shared" si="19"/>
        <v>96900000</v>
      </c>
      <c r="G324" s="99"/>
    </row>
    <row r="325" spans="1:9">
      <c r="A325" s="99" t="s">
        <v>5308</v>
      </c>
      <c r="B325" s="113">
        <v>-53000</v>
      </c>
      <c r="C325" s="99">
        <v>1</v>
      </c>
      <c r="D325" s="99">
        <f t="shared" si="20"/>
        <v>57</v>
      </c>
      <c r="E325" s="99">
        <f t="shared" si="21"/>
        <v>0</v>
      </c>
      <c r="F325" s="99">
        <f t="shared" si="19"/>
        <v>-3021000</v>
      </c>
      <c r="G325" s="99"/>
    </row>
    <row r="326" spans="1:9">
      <c r="A326" s="99" t="s">
        <v>5309</v>
      </c>
      <c r="B326" s="113">
        <v>-1300000</v>
      </c>
      <c r="C326" s="99">
        <v>0</v>
      </c>
      <c r="D326" s="99">
        <f t="shared" si="20"/>
        <v>56</v>
      </c>
      <c r="E326" s="99">
        <f t="shared" si="21"/>
        <v>0</v>
      </c>
      <c r="F326" s="99">
        <f t="shared" si="19"/>
        <v>-72800000</v>
      </c>
      <c r="G326" s="99"/>
      <c r="I326" t="s">
        <v>25</v>
      </c>
    </row>
    <row r="327" spans="1:9">
      <c r="A327" s="99" t="s">
        <v>5309</v>
      </c>
      <c r="B327" s="113">
        <v>-41500</v>
      </c>
      <c r="C327" s="99">
        <v>1</v>
      </c>
      <c r="D327" s="99">
        <f t="shared" ref="D327:D331" si="22">D328+C327</f>
        <v>56</v>
      </c>
      <c r="E327" s="99">
        <f t="shared" ref="E327:E331" si="23">IF(B328&gt;0,1,0)</f>
        <v>0</v>
      </c>
      <c r="F327" s="99">
        <f t="shared" si="19"/>
        <v>-2324000</v>
      </c>
      <c r="G327" s="99"/>
    </row>
    <row r="328" spans="1:9">
      <c r="A328" s="99" t="s">
        <v>5315</v>
      </c>
      <c r="B328" s="113">
        <v>-57700</v>
      </c>
      <c r="C328" s="99">
        <v>3</v>
      </c>
      <c r="D328" s="99">
        <f t="shared" si="22"/>
        <v>55</v>
      </c>
      <c r="E328" s="99">
        <f t="shared" si="23"/>
        <v>0</v>
      </c>
      <c r="F328" s="99">
        <f t="shared" si="19"/>
        <v>-3173500</v>
      </c>
      <c r="G328" s="99"/>
    </row>
    <row r="329" spans="1:9">
      <c r="A329" s="99" t="s">
        <v>5318</v>
      </c>
      <c r="B329" s="113">
        <v>-5600</v>
      </c>
      <c r="C329" s="99">
        <v>1</v>
      </c>
      <c r="D329" s="99">
        <f t="shared" si="22"/>
        <v>52</v>
      </c>
      <c r="E329" s="99">
        <f t="shared" si="23"/>
        <v>0</v>
      </c>
      <c r="F329" s="99">
        <f t="shared" si="19"/>
        <v>-291200</v>
      </c>
      <c r="G329" s="99"/>
    </row>
    <row r="330" spans="1:9">
      <c r="A330" s="99" t="s">
        <v>5320</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5340</v>
      </c>
      <c r="B333" s="113">
        <v>-78508</v>
      </c>
      <c r="C333" s="99">
        <v>2</v>
      </c>
      <c r="D333" s="99">
        <f t="shared" si="24"/>
        <v>47</v>
      </c>
      <c r="E333" s="99">
        <f t="shared" si="25"/>
        <v>0</v>
      </c>
      <c r="F333" s="99">
        <f t="shared" si="26"/>
        <v>-3689876</v>
      </c>
      <c r="G333" s="99"/>
    </row>
    <row r="334" spans="1:9">
      <c r="A334" s="99" t="s">
        <v>5341</v>
      </c>
      <c r="B334" s="113">
        <v>-2000</v>
      </c>
      <c r="C334" s="99">
        <v>4</v>
      </c>
      <c r="D334" s="99">
        <f t="shared" ref="D334:D357" si="27">D335+C334</f>
        <v>45</v>
      </c>
      <c r="E334" s="99">
        <f t="shared" ref="E334:E357" si="28">IF(B335&gt;0,1,0)</f>
        <v>1</v>
      </c>
      <c r="F334" s="99">
        <f t="shared" ref="F334:F357" si="29">B334*(D334-E334)</f>
        <v>-88000</v>
      </c>
      <c r="G334" s="99"/>
    </row>
    <row r="335" spans="1:9">
      <c r="A335" s="99" t="s">
        <v>5347</v>
      </c>
      <c r="B335" s="113">
        <v>2200472</v>
      </c>
      <c r="C335" s="99">
        <v>1</v>
      </c>
      <c r="D335" s="99">
        <f t="shared" si="27"/>
        <v>41</v>
      </c>
      <c r="E335" s="99">
        <f t="shared" si="28"/>
        <v>0</v>
      </c>
      <c r="F335" s="99">
        <f t="shared" si="29"/>
        <v>90219352</v>
      </c>
      <c r="G335" s="99"/>
      <c r="H335" t="s">
        <v>25</v>
      </c>
    </row>
    <row r="336" spans="1:9">
      <c r="A336" s="99" t="s">
        <v>5355</v>
      </c>
      <c r="B336" s="113">
        <v>-28000</v>
      </c>
      <c r="C336" s="99">
        <v>2</v>
      </c>
      <c r="D336" s="99">
        <f t="shared" si="27"/>
        <v>40</v>
      </c>
      <c r="E336" s="99">
        <f t="shared" si="28"/>
        <v>1</v>
      </c>
      <c r="F336" s="99">
        <f t="shared" si="29"/>
        <v>-1092000</v>
      </c>
      <c r="G336" s="99"/>
    </row>
    <row r="337" spans="1:13">
      <c r="A337" s="99" t="s">
        <v>5353</v>
      </c>
      <c r="B337" s="113">
        <v>2500000</v>
      </c>
      <c r="C337" s="99">
        <v>0</v>
      </c>
      <c r="D337" s="99">
        <f t="shared" si="27"/>
        <v>38</v>
      </c>
      <c r="E337" s="99">
        <f t="shared" si="28"/>
        <v>0</v>
      </c>
      <c r="F337" s="99">
        <f t="shared" si="29"/>
        <v>95000000</v>
      </c>
      <c r="G337" s="99"/>
    </row>
    <row r="338" spans="1:13">
      <c r="A338" s="99" t="s">
        <v>5353</v>
      </c>
      <c r="B338" s="113">
        <v>-407500</v>
      </c>
      <c r="C338" s="99">
        <v>2</v>
      </c>
      <c r="D338" s="99">
        <f t="shared" si="27"/>
        <v>38</v>
      </c>
      <c r="E338" s="99">
        <f t="shared" si="28"/>
        <v>0</v>
      </c>
      <c r="F338" s="99">
        <f t="shared" si="29"/>
        <v>-15485000</v>
      </c>
      <c r="G338" s="99"/>
    </row>
    <row r="339" spans="1:13">
      <c r="A339" s="99" t="s">
        <v>5356</v>
      </c>
      <c r="B339" s="113">
        <v>-3600</v>
      </c>
      <c r="C339" s="99">
        <v>1</v>
      </c>
      <c r="D339" s="99">
        <f t="shared" si="27"/>
        <v>36</v>
      </c>
      <c r="E339" s="99">
        <f t="shared" si="28"/>
        <v>0</v>
      </c>
      <c r="F339" s="99">
        <f t="shared" si="29"/>
        <v>-129600</v>
      </c>
      <c r="G339" s="99"/>
    </row>
    <row r="340" spans="1:13">
      <c r="A340" s="99" t="s">
        <v>5365</v>
      </c>
      <c r="B340" s="113">
        <v>-170094</v>
      </c>
      <c r="C340" s="99">
        <v>1</v>
      </c>
      <c r="D340" s="99">
        <f t="shared" si="27"/>
        <v>35</v>
      </c>
      <c r="E340" s="99">
        <f t="shared" si="28"/>
        <v>0</v>
      </c>
      <c r="F340" s="99">
        <f t="shared" si="29"/>
        <v>-5953290</v>
      </c>
      <c r="G340" s="99"/>
      <c r="J340" t="s">
        <v>25</v>
      </c>
    </row>
    <row r="341" spans="1:13">
      <c r="A341" s="99" t="s">
        <v>5358</v>
      </c>
      <c r="B341" s="113">
        <v>-51730</v>
      </c>
      <c r="C341" s="99">
        <v>1</v>
      </c>
      <c r="D341" s="99">
        <f t="shared" si="27"/>
        <v>34</v>
      </c>
      <c r="E341" s="99">
        <f t="shared" si="28"/>
        <v>0</v>
      </c>
      <c r="F341" s="99">
        <f t="shared" si="29"/>
        <v>-1758820</v>
      </c>
      <c r="G341" s="99"/>
    </row>
    <row r="342" spans="1:13">
      <c r="A342" s="99" t="s">
        <v>5366</v>
      </c>
      <c r="B342" s="113">
        <v>-200000</v>
      </c>
      <c r="C342" s="99">
        <v>2</v>
      </c>
      <c r="D342" s="99">
        <f t="shared" si="27"/>
        <v>33</v>
      </c>
      <c r="E342" s="99">
        <f t="shared" si="28"/>
        <v>0</v>
      </c>
      <c r="F342" s="99">
        <f t="shared" si="29"/>
        <v>-6600000</v>
      </c>
      <c r="G342" s="99"/>
    </row>
    <row r="343" spans="1:13">
      <c r="A343" s="99" t="s">
        <v>5307</v>
      </c>
      <c r="B343" s="113">
        <v>-3000000</v>
      </c>
      <c r="C343" s="99">
        <v>0</v>
      </c>
      <c r="D343" s="99">
        <f t="shared" si="27"/>
        <v>31</v>
      </c>
      <c r="E343" s="99">
        <f t="shared" si="28"/>
        <v>0</v>
      </c>
      <c r="F343" s="99">
        <f t="shared" si="29"/>
        <v>-93000000</v>
      </c>
      <c r="G343" s="99"/>
    </row>
    <row r="344" spans="1:13">
      <c r="A344" s="99" t="s">
        <v>5307</v>
      </c>
      <c r="B344" s="113">
        <v>-39726</v>
      </c>
      <c r="C344" s="99">
        <v>1</v>
      </c>
      <c r="D344" s="99">
        <f t="shared" si="27"/>
        <v>31</v>
      </c>
      <c r="E344" s="99">
        <f t="shared" si="28"/>
        <v>0</v>
      </c>
      <c r="F344" s="99">
        <f t="shared" si="29"/>
        <v>-1231506</v>
      </c>
      <c r="G344" s="99"/>
      <c r="M344" t="s">
        <v>25</v>
      </c>
    </row>
    <row r="345" spans="1:13">
      <c r="A345" s="99" t="s">
        <v>5369</v>
      </c>
      <c r="B345" s="113">
        <v>-566500</v>
      </c>
      <c r="C345" s="99">
        <v>1</v>
      </c>
      <c r="D345" s="99">
        <f t="shared" si="27"/>
        <v>30</v>
      </c>
      <c r="E345" s="99">
        <f t="shared" si="28"/>
        <v>0</v>
      </c>
      <c r="F345" s="99">
        <f t="shared" si="29"/>
        <v>-16995000</v>
      </c>
      <c r="G345" s="99"/>
      <c r="K345" t="s">
        <v>25</v>
      </c>
    </row>
    <row r="346" spans="1:13">
      <c r="A346" s="99" t="s">
        <v>5371</v>
      </c>
      <c r="B346" s="113">
        <v>-300000</v>
      </c>
      <c r="C346" s="99">
        <v>22</v>
      </c>
      <c r="D346" s="99">
        <f t="shared" si="27"/>
        <v>29</v>
      </c>
      <c r="E346" s="99">
        <f t="shared" si="28"/>
        <v>1</v>
      </c>
      <c r="F346" s="99">
        <f t="shared" si="29"/>
        <v>-8400000</v>
      </c>
      <c r="G346" s="99"/>
      <c r="J346" t="s">
        <v>25</v>
      </c>
    </row>
    <row r="347" spans="1:13">
      <c r="A347" s="99" t="s">
        <v>5397</v>
      </c>
      <c r="B347" s="113">
        <v>700000</v>
      </c>
      <c r="C347" s="99">
        <v>1</v>
      </c>
      <c r="D347" s="99">
        <f t="shared" si="27"/>
        <v>7</v>
      </c>
      <c r="E347" s="99">
        <f t="shared" si="28"/>
        <v>0</v>
      </c>
      <c r="F347" s="99">
        <f t="shared" si="29"/>
        <v>4900000</v>
      </c>
      <c r="G347" s="99"/>
    </row>
    <row r="348" spans="1:13">
      <c r="A348" s="99" t="s">
        <v>5400</v>
      </c>
      <c r="B348" s="113">
        <v>-101000</v>
      </c>
      <c r="C348" s="99">
        <v>1</v>
      </c>
      <c r="D348" s="99">
        <f t="shared" si="27"/>
        <v>6</v>
      </c>
      <c r="E348" s="99">
        <f t="shared" si="28"/>
        <v>0</v>
      </c>
      <c r="F348" s="99">
        <f t="shared" si="29"/>
        <v>-606000</v>
      </c>
      <c r="G348" s="99"/>
    </row>
    <row r="349" spans="1:13">
      <c r="A349" s="99" t="s">
        <v>5400</v>
      </c>
      <c r="B349" s="113">
        <v>-57245</v>
      </c>
      <c r="C349" s="99">
        <v>1</v>
      </c>
      <c r="D349" s="99">
        <f t="shared" si="27"/>
        <v>5</v>
      </c>
      <c r="E349" s="99">
        <f t="shared" si="28"/>
        <v>0</v>
      </c>
      <c r="F349" s="99">
        <f t="shared" si="29"/>
        <v>-286225</v>
      </c>
      <c r="G349" s="99"/>
    </row>
    <row r="350" spans="1:13">
      <c r="A350" s="99" t="s">
        <v>5404</v>
      </c>
      <c r="B350" s="113">
        <v>-398700</v>
      </c>
      <c r="C350" s="99">
        <v>2</v>
      </c>
      <c r="D350" s="99">
        <f t="shared" si="27"/>
        <v>4</v>
      </c>
      <c r="E350" s="99">
        <f t="shared" si="28"/>
        <v>0</v>
      </c>
      <c r="F350" s="99">
        <f t="shared" si="29"/>
        <v>-1594800</v>
      </c>
      <c r="G350" s="99"/>
    </row>
    <row r="351" spans="1:13">
      <c r="A351" s="99" t="s">
        <v>5403</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5148</v>
      </c>
      <c r="L33" t="s">
        <v>5149</v>
      </c>
      <c r="M33" t="s">
        <v>5150</v>
      </c>
      <c r="N33" t="s">
        <v>5151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5153</v>
      </c>
      <c r="M34" t="s">
        <v>5154</v>
      </c>
      <c r="N34" t="s">
        <v>5152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1"/>
  <sheetViews>
    <sheetView topLeftCell="H73"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S122</f>
        <v>430</v>
      </c>
      <c r="T20" s="168" t="s">
        <v>4300</v>
      </c>
      <c r="U20" s="168">
        <v>192.1</v>
      </c>
      <c r="V20" s="168">
        <f t="shared" ref="V20:V51" si="6">U20*(1+$R$118+$Q$15*S20/36500)</f>
        <v>258.38660493150689</v>
      </c>
      <c r="W20" s="32">
        <f t="shared" ref="W20:W29" si="7">V20*(1+$W$19/100)</f>
        <v>263.55433703013705</v>
      </c>
      <c r="X20" s="32">
        <f t="shared" ref="X20:X29" si="8">V20*(1+$X$19/100)</f>
        <v>268.7220691287672</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855207803.75506234</v>
      </c>
      <c r="M21" s="168" t="s">
        <v>4292</v>
      </c>
      <c r="N21" s="113">
        <f t="shared" ref="N21:N25" si="9">O21*P21</f>
        <v>548838808.5999999</v>
      </c>
      <c r="O21" s="99">
        <v>1638814</v>
      </c>
      <c r="P21" s="185">
        <f>P47</f>
        <v>334.9</v>
      </c>
      <c r="Q21" s="169">
        <v>1353959</v>
      </c>
      <c r="R21" s="168" t="s">
        <v>4417</v>
      </c>
      <c r="S21" s="198">
        <f>S20-59</f>
        <v>371</v>
      </c>
      <c r="T21" s="19" t="s">
        <v>4460</v>
      </c>
      <c r="U21" s="168">
        <v>192.2</v>
      </c>
      <c r="V21" s="168">
        <f t="shared" si="6"/>
        <v>249.82208657534247</v>
      </c>
      <c r="W21" s="32">
        <f t="shared" si="7"/>
        <v>254.81852830684932</v>
      </c>
      <c r="X21" s="32">
        <f t="shared" si="8"/>
        <v>259.81497003835619</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580887</v>
      </c>
      <c r="O22" s="99">
        <v>95</v>
      </c>
      <c r="P22" s="185">
        <f>P44</f>
        <v>6114.6</v>
      </c>
      <c r="Q22" s="169">
        <v>1614398</v>
      </c>
      <c r="R22" s="168" t="s">
        <v>4423</v>
      </c>
      <c r="S22" s="168">
        <f>S21-3</f>
        <v>368</v>
      </c>
      <c r="T22" s="19" t="s">
        <v>4493</v>
      </c>
      <c r="U22" s="168">
        <v>184.6</v>
      </c>
      <c r="V22" s="168">
        <f t="shared" si="6"/>
        <v>239.51875287671234</v>
      </c>
      <c r="W22" s="32">
        <f t="shared" si="7"/>
        <v>244.30912793424659</v>
      </c>
      <c r="X22" s="32">
        <f t="shared" si="8"/>
        <v>249.09950299178084</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5385048.8999999994</v>
      </c>
      <c r="O23" s="99">
        <v>791</v>
      </c>
      <c r="P23" s="185">
        <f>P46</f>
        <v>6807.9</v>
      </c>
      <c r="Q23" s="169">
        <v>133576</v>
      </c>
      <c r="R23" s="168" t="s">
        <v>4500</v>
      </c>
      <c r="S23" s="197">
        <f>S22-22</f>
        <v>346</v>
      </c>
      <c r="T23" s="168" t="s">
        <v>4501</v>
      </c>
      <c r="U23" s="168">
        <v>166.2</v>
      </c>
      <c r="V23" s="168">
        <f t="shared" si="6"/>
        <v>212.83981808219175</v>
      </c>
      <c r="W23" s="32">
        <f t="shared" si="7"/>
        <v>217.09661444383559</v>
      </c>
      <c r="X23" s="32">
        <f t="shared" si="8"/>
        <v>221.35341080547943</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748801085.75506234</v>
      </c>
      <c r="G24" s="95">
        <f t="shared" si="0"/>
        <v>-468494740.37312371</v>
      </c>
      <c r="H24" s="11"/>
      <c r="I24" s="96"/>
      <c r="J24" s="96"/>
      <c r="K24" s="213"/>
      <c r="L24" s="117"/>
      <c r="M24" s="213" t="s">
        <v>5213</v>
      </c>
      <c r="N24" s="113">
        <f t="shared" si="9"/>
        <v>0</v>
      </c>
      <c r="O24" s="99">
        <v>0</v>
      </c>
      <c r="P24" s="185">
        <f>P48</f>
        <v>3506</v>
      </c>
      <c r="Q24" s="169">
        <v>220803</v>
      </c>
      <c r="R24" s="168" t="s">
        <v>4222</v>
      </c>
      <c r="S24" s="197">
        <f>S23-1</f>
        <v>345</v>
      </c>
      <c r="T24" s="168" t="s">
        <v>4507</v>
      </c>
      <c r="U24" s="168">
        <v>166</v>
      </c>
      <c r="V24" s="168">
        <f t="shared" si="6"/>
        <v>212.45635068493152</v>
      </c>
      <c r="W24" s="32">
        <f t="shared" si="7"/>
        <v>216.70547769863015</v>
      </c>
      <c r="X24" s="32">
        <f t="shared" si="8"/>
        <v>220.9546047123288</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-27611459</v>
      </c>
      <c r="M25" s="213" t="s">
        <v>4398</v>
      </c>
      <c r="N25" s="113">
        <f t="shared" si="9"/>
        <v>134964645.59999999</v>
      </c>
      <c r="O25" s="99">
        <v>156808</v>
      </c>
      <c r="P25" s="185">
        <f>P45</f>
        <v>860.7</v>
      </c>
      <c r="Q25" s="169">
        <v>1023940</v>
      </c>
      <c r="R25" s="168" t="s">
        <v>4508</v>
      </c>
      <c r="S25" s="197">
        <f>S24-2</f>
        <v>343</v>
      </c>
      <c r="T25" s="168" t="s">
        <v>4514</v>
      </c>
      <c r="U25" s="168">
        <v>160.19999999999999</v>
      </c>
      <c r="V25" s="168">
        <f t="shared" si="6"/>
        <v>204.78739068493149</v>
      </c>
      <c r="W25" s="32">
        <f t="shared" si="7"/>
        <v>208.88313849863013</v>
      </c>
      <c r="X25" s="32">
        <f t="shared" si="8"/>
        <v>212.97888631232877</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315</v>
      </c>
      <c r="T26" s="168" t="s">
        <v>4603</v>
      </c>
      <c r="U26" s="168">
        <v>172.2</v>
      </c>
      <c r="V26" s="168">
        <f t="shared" si="6"/>
        <v>216.42850849315067</v>
      </c>
      <c r="W26" s="32">
        <f t="shared" si="7"/>
        <v>220.75707866301369</v>
      </c>
      <c r="X26" s="32">
        <f t="shared" si="8"/>
        <v>225.0856488328767</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298</v>
      </c>
      <c r="T27" s="213" t="s">
        <v>4673</v>
      </c>
      <c r="U27" s="213">
        <v>502.3</v>
      </c>
      <c r="V27" s="213">
        <f t="shared" si="6"/>
        <v>624.76211616438366</v>
      </c>
      <c r="W27" s="32">
        <f t="shared" si="7"/>
        <v>637.25735848767135</v>
      </c>
      <c r="X27" s="32">
        <f t="shared" si="8"/>
        <v>649.75260081095905</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1728285.6</v>
      </c>
      <c r="O28" s="69">
        <v>2008</v>
      </c>
      <c r="P28" s="99">
        <f>P45</f>
        <v>860.7</v>
      </c>
      <c r="Q28" s="169">
        <v>17953742</v>
      </c>
      <c r="R28" s="213" t="s">
        <v>3681</v>
      </c>
      <c r="S28" s="197">
        <f>S27-15</f>
        <v>283</v>
      </c>
      <c r="T28" s="213" t="s">
        <v>4710</v>
      </c>
      <c r="U28" s="213">
        <v>486.4</v>
      </c>
      <c r="V28" s="213">
        <f t="shared" si="6"/>
        <v>599.38872109589033</v>
      </c>
      <c r="W28" s="32">
        <f t="shared" si="7"/>
        <v>611.37649551780817</v>
      </c>
      <c r="X28" s="32">
        <f t="shared" si="8"/>
        <v>623.364269939726</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379105.2</v>
      </c>
      <c r="O29" s="69">
        <v>62</v>
      </c>
      <c r="P29" s="99">
        <f>P44</f>
        <v>6114.6</v>
      </c>
      <c r="Q29" s="169">
        <v>9566181</v>
      </c>
      <c r="R29" s="213" t="s">
        <v>4711</v>
      </c>
      <c r="S29" s="197">
        <f>S28-1</f>
        <v>282</v>
      </c>
      <c r="T29" s="213" t="s">
        <v>4712</v>
      </c>
      <c r="U29" s="213">
        <v>476.1</v>
      </c>
      <c r="V29" s="213">
        <f t="shared" si="6"/>
        <v>586.33084602739734</v>
      </c>
      <c r="W29" s="32">
        <f t="shared" si="7"/>
        <v>598.05746294794528</v>
      </c>
      <c r="X29" s="32">
        <f t="shared" si="8"/>
        <v>609.78407986849322</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8584761.9000000004</v>
      </c>
      <c r="O30" s="69">
        <v>1261</v>
      </c>
      <c r="P30" s="99">
        <f>P46</f>
        <v>6807.9</v>
      </c>
      <c r="Q30" s="169">
        <v>1563192</v>
      </c>
      <c r="R30" s="213" t="s">
        <v>4711</v>
      </c>
      <c r="S30" s="197">
        <f>S29</f>
        <v>282</v>
      </c>
      <c r="T30" s="213" t="s">
        <v>4713</v>
      </c>
      <c r="U30" s="213">
        <v>168.8</v>
      </c>
      <c r="V30" s="213">
        <f t="shared" si="6"/>
        <v>207.88205589041098</v>
      </c>
      <c r="W30" s="32">
        <f t="shared" ref="W30:W49" si="14">V30*(1+$W$19/100)</f>
        <v>212.03969700821921</v>
      </c>
      <c r="X30" s="32">
        <f t="shared" ref="X30:X49" si="15">V30*(1+$X$19/100)</f>
        <v>216.19733812602743</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130122380.89999999</v>
      </c>
      <c r="O31" s="69">
        <v>388541</v>
      </c>
      <c r="P31" s="99">
        <f>P47</f>
        <v>334.9</v>
      </c>
      <c r="Q31" s="169">
        <v>15499033</v>
      </c>
      <c r="R31" s="213" t="s">
        <v>4729</v>
      </c>
      <c r="S31" s="197">
        <f>S30-6</f>
        <v>276</v>
      </c>
      <c r="T31" s="213" t="s">
        <v>4733</v>
      </c>
      <c r="U31" s="213">
        <v>525.1</v>
      </c>
      <c r="V31" s="213">
        <f t="shared" si="6"/>
        <v>644.25885698630145</v>
      </c>
      <c r="W31" s="32">
        <f t="shared" si="14"/>
        <v>657.14403412602746</v>
      </c>
      <c r="X31" s="32">
        <f t="shared" si="15"/>
        <v>670.02921126575359</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275</v>
      </c>
      <c r="T32" s="213" t="s">
        <v>4742</v>
      </c>
      <c r="U32" s="213">
        <v>529.79999999999995</v>
      </c>
      <c r="V32" s="213">
        <f t="shared" si="6"/>
        <v>649.61898739726018</v>
      </c>
      <c r="W32" s="32">
        <f t="shared" si="14"/>
        <v>662.61136714520535</v>
      </c>
      <c r="X32" s="32">
        <f t="shared" si="15"/>
        <v>675.60374689315063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254</v>
      </c>
      <c r="T33" s="213" t="s">
        <v>5161</v>
      </c>
      <c r="U33" s="213">
        <v>587.29999999999995</v>
      </c>
      <c r="V33" s="213">
        <f t="shared" si="6"/>
        <v>710.66196273972605</v>
      </c>
      <c r="W33" s="32">
        <f t="shared" si="14"/>
        <v>724.87520199452058</v>
      </c>
      <c r="X33" s="32">
        <f t="shared" si="15"/>
        <v>739.08844124931511</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-S195</f>
        <v>-855207803.75506234</v>
      </c>
      <c r="O34" s="96" t="s">
        <v>25</v>
      </c>
      <c r="P34" s="96" t="s">
        <v>25</v>
      </c>
      <c r="Q34" s="169">
        <v>1204691</v>
      </c>
      <c r="R34" s="213" t="s">
        <v>4941</v>
      </c>
      <c r="S34" s="197">
        <f>S33-48</f>
        <v>206</v>
      </c>
      <c r="T34" s="213" t="s">
        <v>4942</v>
      </c>
      <c r="U34" s="213">
        <v>218.5</v>
      </c>
      <c r="V34" s="213">
        <f t="shared" si="6"/>
        <v>256.35018630136989</v>
      </c>
      <c r="W34" s="32">
        <f t="shared" si="14"/>
        <v>261.47719002739728</v>
      </c>
      <c r="X34" s="32">
        <f t="shared" si="15"/>
        <v>266.60419375342468</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203</v>
      </c>
      <c r="T35" s="213" t="s">
        <v>4949</v>
      </c>
      <c r="U35" s="213">
        <v>197.1</v>
      </c>
      <c r="V35" s="213">
        <f t="shared" si="6"/>
        <v>230.78952000000001</v>
      </c>
      <c r="W35" s="32">
        <f t="shared" si="14"/>
        <v>235.40531040000002</v>
      </c>
      <c r="X35" s="32">
        <f t="shared" si="15"/>
        <v>240.02110080000003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198</v>
      </c>
      <c r="T36" s="213" t="s">
        <v>4960</v>
      </c>
      <c r="U36" s="213">
        <v>194.4</v>
      </c>
      <c r="V36" s="213">
        <f t="shared" si="6"/>
        <v>226.88237589041097</v>
      </c>
      <c r="W36" s="32">
        <f t="shared" si="14"/>
        <v>231.42002340821918</v>
      </c>
      <c r="X36" s="32">
        <f t="shared" si="15"/>
        <v>235.95767092602742</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192</v>
      </c>
      <c r="T37" s="213" t="s">
        <v>4967</v>
      </c>
      <c r="U37" s="213">
        <v>190.3</v>
      </c>
      <c r="V37" s="213">
        <f t="shared" si="6"/>
        <v>221.22140383561648</v>
      </c>
      <c r="W37" s="32">
        <f t="shared" si="14"/>
        <v>225.64583191232882</v>
      </c>
      <c r="X37" s="32">
        <f t="shared" si="15"/>
        <v>230.07025998904115</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190</v>
      </c>
      <c r="T38" s="213" t="s">
        <v>5014</v>
      </c>
      <c r="U38" s="213">
        <v>195.5</v>
      </c>
      <c r="V38" s="213">
        <f t="shared" si="6"/>
        <v>226.96639452054796</v>
      </c>
      <c r="W38" s="32">
        <f t="shared" si="14"/>
        <v>231.50572241095892</v>
      </c>
      <c r="X38" s="32">
        <f t="shared" si="15"/>
        <v>236.04505030136988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169</v>
      </c>
      <c r="T39" s="213" t="s">
        <v>5019</v>
      </c>
      <c r="U39" s="213">
        <v>200.2</v>
      </c>
      <c r="V39" s="213">
        <f t="shared" si="6"/>
        <v>229.197735890411</v>
      </c>
      <c r="W39" s="32">
        <f t="shared" si="14"/>
        <v>233.78169060821921</v>
      </c>
      <c r="X39" s="32">
        <f t="shared" si="15"/>
        <v>238.36564532602745</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168</v>
      </c>
      <c r="T40" s="213" t="s">
        <v>5027</v>
      </c>
      <c r="U40" s="213">
        <v>200</v>
      </c>
      <c r="V40" s="213">
        <f t="shared" si="6"/>
        <v>228.81534246575345</v>
      </c>
      <c r="W40" s="32">
        <f t="shared" si="14"/>
        <v>233.39164931506852</v>
      </c>
      <c r="X40" s="32">
        <f t="shared" si="15"/>
        <v>237.96795616438359</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167</v>
      </c>
      <c r="T41" s="213" t="s">
        <v>5031</v>
      </c>
      <c r="U41" s="213">
        <v>201.9</v>
      </c>
      <c r="V41" s="213">
        <f t="shared" si="6"/>
        <v>230.8342060273973</v>
      </c>
      <c r="W41" s="32">
        <f t="shared" si="14"/>
        <v>235.45089014794524</v>
      </c>
      <c r="X41" s="32">
        <f t="shared" si="15"/>
        <v>240.06757426849319</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161</v>
      </c>
      <c r="T42" s="213" t="s">
        <v>5046</v>
      </c>
      <c r="U42" s="213">
        <v>210.1</v>
      </c>
      <c r="V42" s="213">
        <f t="shared" si="6"/>
        <v>239.24230904109589</v>
      </c>
      <c r="W42" s="32">
        <f t="shared" si="14"/>
        <v>244.02715522191781</v>
      </c>
      <c r="X42" s="32">
        <f t="shared" si="15"/>
        <v>248.81200140273972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155</v>
      </c>
      <c r="T43" s="213" t="s">
        <v>5066</v>
      </c>
      <c r="U43" s="213">
        <v>213.3</v>
      </c>
      <c r="V43" s="213">
        <f t="shared" si="6"/>
        <v>241.90440657534251</v>
      </c>
      <c r="W43" s="32">
        <f t="shared" si="14"/>
        <v>246.74249470684936</v>
      </c>
      <c r="X43" s="32">
        <f t="shared" si="15"/>
        <v>251.58058283835621</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5413</v>
      </c>
      <c r="L44" s="117">
        <f>-6000*P47</f>
        <v>-2009399.9999999998</v>
      </c>
      <c r="M44" s="21" t="s">
        <v>4380</v>
      </c>
      <c r="N44" s="117">
        <f t="shared" ref="N44:N50" si="16">O44*P44</f>
        <v>0</v>
      </c>
      <c r="O44" s="69">
        <v>0</v>
      </c>
      <c r="P44" s="69">
        <v>6114.6</v>
      </c>
      <c r="Q44" s="169">
        <v>9991144</v>
      </c>
      <c r="R44" s="213" t="s">
        <v>5070</v>
      </c>
      <c r="S44" s="197">
        <f>S43-2</f>
        <v>153</v>
      </c>
      <c r="T44" s="213" t="s">
        <v>5072</v>
      </c>
      <c r="U44" s="213">
        <v>221</v>
      </c>
      <c r="V44" s="213">
        <f t="shared" si="6"/>
        <v>250.29793972602741</v>
      </c>
      <c r="W44" s="32">
        <f t="shared" si="14"/>
        <v>255.30389852054796</v>
      </c>
      <c r="X44" s="32">
        <f t="shared" si="15"/>
        <v>260.30985731506854</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5338</v>
      </c>
      <c r="L45" s="117">
        <f>-1200*P50</f>
        <v>-15720000</v>
      </c>
      <c r="M45" s="19" t="s">
        <v>4398</v>
      </c>
      <c r="N45" s="117">
        <f t="shared" si="16"/>
        <v>79817014.5</v>
      </c>
      <c r="O45" s="69">
        <v>92735</v>
      </c>
      <c r="P45" s="69">
        <v>860.7</v>
      </c>
      <c r="Q45" s="169">
        <v>23124984</v>
      </c>
      <c r="R45" s="213" t="s">
        <v>5100</v>
      </c>
      <c r="S45" s="197">
        <f>S44-19</f>
        <v>134</v>
      </c>
      <c r="T45" s="213" t="s">
        <v>5103</v>
      </c>
      <c r="U45" s="213">
        <v>234</v>
      </c>
      <c r="V45" s="213">
        <f t="shared" si="6"/>
        <v>261.61071780821919</v>
      </c>
      <c r="W45" s="32">
        <f t="shared" si="14"/>
        <v>266.84293216438357</v>
      </c>
      <c r="X45" s="32">
        <f t="shared" si="15"/>
        <v>272.07514652054795</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21730816.799999997</v>
      </c>
      <c r="O46" s="69">
        <v>3192</v>
      </c>
      <c r="P46" s="69">
        <v>6807.9</v>
      </c>
      <c r="Q46" s="169">
        <v>25661167</v>
      </c>
      <c r="R46" s="213" t="s">
        <v>5104</v>
      </c>
      <c r="S46" s="197">
        <f>S45-1</f>
        <v>133</v>
      </c>
      <c r="T46" s="213" t="s">
        <v>5218</v>
      </c>
      <c r="U46" s="213">
        <v>224</v>
      </c>
      <c r="V46" s="213">
        <f t="shared" si="6"/>
        <v>250.25893698630136</v>
      </c>
      <c r="W46" s="32">
        <f t="shared" si="14"/>
        <v>255.2641157260274</v>
      </c>
      <c r="X46" s="32">
        <f t="shared" si="15"/>
        <v>260.26929446575343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5417</v>
      </c>
      <c r="L47" s="117">
        <f>122948*P47</f>
        <v>41175285.199999996</v>
      </c>
      <c r="M47" s="19" t="s">
        <v>4174</v>
      </c>
      <c r="N47" s="113">
        <f t="shared" si="16"/>
        <v>1001825218.4</v>
      </c>
      <c r="O47" s="99">
        <v>2991416</v>
      </c>
      <c r="P47" s="99">
        <v>334.9</v>
      </c>
      <c r="Q47" s="169">
        <v>196926</v>
      </c>
      <c r="R47" s="213" t="s">
        <v>5135</v>
      </c>
      <c r="S47" s="197">
        <f>S46-19</f>
        <v>114</v>
      </c>
      <c r="T47" s="213" t="s">
        <v>5136</v>
      </c>
      <c r="U47" s="213">
        <v>4083.7</v>
      </c>
      <c r="V47" s="213">
        <f t="shared" si="6"/>
        <v>4502.9001961643835</v>
      </c>
      <c r="W47" s="32">
        <f t="shared" si="14"/>
        <v>4592.9582000876717</v>
      </c>
      <c r="X47" s="32">
        <f t="shared" si="15"/>
        <v>4683.016204010959</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5213</v>
      </c>
      <c r="N48" s="113">
        <f t="shared" si="16"/>
        <v>0</v>
      </c>
      <c r="O48" s="99">
        <v>0</v>
      </c>
      <c r="P48" s="99">
        <v>3506</v>
      </c>
      <c r="Q48" s="169">
        <v>191280</v>
      </c>
      <c r="R48" s="213" t="s">
        <v>5140</v>
      </c>
      <c r="S48" s="197">
        <f>S47-1</f>
        <v>113</v>
      </c>
      <c r="T48" s="213" t="s">
        <v>5414</v>
      </c>
      <c r="U48" s="213">
        <v>4051</v>
      </c>
      <c r="V48" s="213">
        <f t="shared" si="6"/>
        <v>4463.7358575342478</v>
      </c>
      <c r="W48" s="32">
        <f t="shared" si="14"/>
        <v>4553.0105746849331</v>
      </c>
      <c r="X48" s="32">
        <f t="shared" si="15"/>
        <v>4642.2852918356175</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5419</v>
      </c>
      <c r="L49" s="117">
        <v>-377400</v>
      </c>
      <c r="M49" s="21" t="s">
        <v>1083</v>
      </c>
      <c r="N49" s="117">
        <f t="shared" si="16"/>
        <v>0</v>
      </c>
      <c r="O49" s="69">
        <v>0</v>
      </c>
      <c r="P49" s="69">
        <v>451400</v>
      </c>
      <c r="Q49" s="169">
        <v>741022</v>
      </c>
      <c r="R49" s="213" t="s">
        <v>5129</v>
      </c>
      <c r="S49" s="197">
        <f>S48-22</f>
        <v>91</v>
      </c>
      <c r="T49" s="213" t="s">
        <v>5176</v>
      </c>
      <c r="U49" s="213">
        <v>737.6</v>
      </c>
      <c r="V49" s="213">
        <f t="shared" si="6"/>
        <v>800.30206246575358</v>
      </c>
      <c r="W49" s="32">
        <f t="shared" si="14"/>
        <v>816.30810371506868</v>
      </c>
      <c r="X49" s="32">
        <f t="shared" si="15"/>
        <v>832.31414496438379</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5418</v>
      </c>
      <c r="L50" s="117">
        <v>-200000</v>
      </c>
      <c r="M50" s="73" t="s">
        <v>5212</v>
      </c>
      <c r="N50" s="117">
        <f t="shared" si="16"/>
        <v>0</v>
      </c>
      <c r="O50" s="74">
        <v>0</v>
      </c>
      <c r="P50" s="74">
        <v>13100</v>
      </c>
      <c r="Q50" s="169">
        <v>1866540</v>
      </c>
      <c r="R50" s="213" t="s">
        <v>5178</v>
      </c>
      <c r="S50" s="197">
        <f>S49-1</f>
        <v>90</v>
      </c>
      <c r="T50" s="213" t="s">
        <v>5179</v>
      </c>
      <c r="U50" s="213">
        <v>740.2</v>
      </c>
      <c r="V50" s="213">
        <f t="shared" si="6"/>
        <v>802.55525917808245</v>
      </c>
      <c r="W50" s="32">
        <f t="shared" ref="W50:W59" si="17">V50*(1+$W$19/100)</f>
        <v>818.60636436164407</v>
      </c>
      <c r="X50" s="32">
        <f t="shared" ref="X50:X59" si="18">V50*(1+$X$19/100)</f>
        <v>834.6574695452058</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5423</v>
      </c>
      <c r="L51" s="117">
        <v>-200000</v>
      </c>
      <c r="M51" s="168" t="s">
        <v>1149</v>
      </c>
      <c r="N51" s="117">
        <v>14908</v>
      </c>
      <c r="O51" s="96" t="s">
        <v>25</v>
      </c>
      <c r="P51" t="s">
        <v>25</v>
      </c>
      <c r="Q51" s="169">
        <v>1373184</v>
      </c>
      <c r="R51" s="213" t="s">
        <v>5182</v>
      </c>
      <c r="S51" s="197">
        <f>S50-3</f>
        <v>87</v>
      </c>
      <c r="T51" s="213" t="s">
        <v>5183</v>
      </c>
      <c r="U51" s="213">
        <v>750.6</v>
      </c>
      <c r="V51" s="213">
        <f t="shared" si="6"/>
        <v>812.10395835616441</v>
      </c>
      <c r="W51" s="32">
        <f t="shared" si="17"/>
        <v>828.34603752328769</v>
      </c>
      <c r="X51" s="32">
        <f t="shared" si="18"/>
        <v>844.58811669041097</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4660</v>
      </c>
      <c r="R52" s="213" t="s">
        <v>5189</v>
      </c>
      <c r="S52" s="197">
        <f>S51-2</f>
        <v>85</v>
      </c>
      <c r="T52" s="213" t="s">
        <v>5190</v>
      </c>
      <c r="U52" s="213">
        <v>773.1</v>
      </c>
      <c r="V52" s="213">
        <f t="shared" ref="V52:V76" si="19">U52*(1+$R$118+$Q$15*S52/36500)</f>
        <v>835.26147616438357</v>
      </c>
      <c r="W52" s="32">
        <f t="shared" si="17"/>
        <v>851.96670568767126</v>
      </c>
      <c r="X52" s="32">
        <f t="shared" si="18"/>
        <v>868.67193521095896</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545132</v>
      </c>
      <c r="R53" s="213" t="s">
        <v>5191</v>
      </c>
      <c r="S53" s="197">
        <f>S52-1</f>
        <v>84</v>
      </c>
      <c r="T53" s="213" t="s">
        <v>5192</v>
      </c>
      <c r="U53" s="213">
        <v>778.5</v>
      </c>
      <c r="V53" s="213">
        <f t="shared" si="19"/>
        <v>840.49846027397268</v>
      </c>
      <c r="W53" s="32">
        <f t="shared" si="17"/>
        <v>857.30842947945212</v>
      </c>
      <c r="X53" s="32">
        <f t="shared" si="18"/>
        <v>874.11839868493166</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179841</v>
      </c>
      <c r="R54" s="213" t="s">
        <v>5211</v>
      </c>
      <c r="S54" s="197">
        <f>S53-8</f>
        <v>76</v>
      </c>
      <c r="T54" s="213" t="s">
        <v>5214</v>
      </c>
      <c r="U54" s="213">
        <v>791.2</v>
      </c>
      <c r="V54" s="213">
        <f t="shared" si="19"/>
        <v>849.35428383561657</v>
      </c>
      <c r="W54" s="32">
        <f t="shared" si="17"/>
        <v>866.34136951232892</v>
      </c>
      <c r="X54" s="32">
        <f t="shared" si="18"/>
        <v>883.32845518904128</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2889559</v>
      </c>
      <c r="R55" s="213" t="s">
        <v>5146</v>
      </c>
      <c r="S55" s="197">
        <f>S54-3</f>
        <v>73</v>
      </c>
      <c r="T55" s="213" t="s">
        <v>5217</v>
      </c>
      <c r="U55" s="213">
        <v>782.4</v>
      </c>
      <c r="V55" s="213">
        <f t="shared" si="19"/>
        <v>838.10688000000005</v>
      </c>
      <c r="W55" s="32">
        <f t="shared" si="17"/>
        <v>854.86901760000001</v>
      </c>
      <c r="X55" s="32">
        <f t="shared" si="18"/>
        <v>871.63115520000008</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1773978</v>
      </c>
      <c r="R56" s="213" t="s">
        <v>5220</v>
      </c>
      <c r="S56" s="197">
        <f>S55-1</f>
        <v>72</v>
      </c>
      <c r="T56" s="213" t="s">
        <v>5222</v>
      </c>
      <c r="U56" s="213">
        <v>766.4</v>
      </c>
      <c r="V56" s="213">
        <f t="shared" si="19"/>
        <v>820.3797567123288</v>
      </c>
      <c r="W56" s="32">
        <f t="shared" si="17"/>
        <v>836.78735184657535</v>
      </c>
      <c r="X56" s="32">
        <f t="shared" si="18"/>
        <v>853.19494698082201</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-S196</f>
        <v>-26731725.615884535</v>
      </c>
      <c r="Q57" s="169">
        <v>4937080</v>
      </c>
      <c r="R57" s="213" t="s">
        <v>5220</v>
      </c>
      <c r="S57" s="197">
        <f>S56</f>
        <v>72</v>
      </c>
      <c r="T57" s="213" t="s">
        <v>5223</v>
      </c>
      <c r="U57" s="213">
        <v>289.10000000000002</v>
      </c>
      <c r="V57" s="213">
        <f t="shared" si="19"/>
        <v>309.46214465753428</v>
      </c>
      <c r="W57" s="32">
        <f t="shared" si="17"/>
        <v>315.65138755068494</v>
      </c>
      <c r="X57" s="32">
        <f t="shared" si="18"/>
        <v>321.84063044383566</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4029844</v>
      </c>
      <c r="R58" s="213" t="s">
        <v>5229</v>
      </c>
      <c r="S58" s="197">
        <f>S57-6</f>
        <v>66</v>
      </c>
      <c r="T58" s="213" t="s">
        <v>5231</v>
      </c>
      <c r="U58" s="213">
        <v>275.10000000000002</v>
      </c>
      <c r="V58" s="213">
        <f t="shared" si="19"/>
        <v>293.20987068493156</v>
      </c>
      <c r="W58" s="32">
        <f t="shared" si="17"/>
        <v>299.07406809863022</v>
      </c>
      <c r="X58" s="32">
        <f t="shared" si="18"/>
        <v>304.93826551232883</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5234</v>
      </c>
      <c r="S59" s="197">
        <f>S58-1</f>
        <v>65</v>
      </c>
      <c r="T59" s="213" t="s">
        <v>5236</v>
      </c>
      <c r="U59" s="213">
        <v>275.60000000000002</v>
      </c>
      <c r="V59" s="213">
        <f t="shared" si="19"/>
        <v>293.53136657534253</v>
      </c>
      <c r="W59" s="32">
        <f t="shared" si="17"/>
        <v>299.40199390684938</v>
      </c>
      <c r="X59" s="32">
        <f t="shared" si="18"/>
        <v>305.27262123835624</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748801085.75506234</v>
      </c>
      <c r="M60" s="168"/>
      <c r="N60" s="113">
        <f>SUM(N16:N59)</f>
        <v>991922933.02905297</v>
      </c>
      <c r="Q60" s="169">
        <v>6955516</v>
      </c>
      <c r="R60" s="213" t="s">
        <v>5239</v>
      </c>
      <c r="S60" s="197">
        <f>S59-2</f>
        <v>63</v>
      </c>
      <c r="T60" s="213" t="s">
        <v>5249</v>
      </c>
      <c r="U60" s="213">
        <v>288.5</v>
      </c>
      <c r="V60" s="213">
        <f t="shared" si="19"/>
        <v>306.82804931506854</v>
      </c>
      <c r="W60" s="32">
        <f t="shared" ref="W60:W76" si="20">V60*(1+$W$19/100)</f>
        <v>312.96461030136993</v>
      </c>
      <c r="X60" s="32">
        <f t="shared" ref="X60:X76" si="21">V60*(1+$X$19/100)</f>
        <v>319.10117128767132</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479691</v>
      </c>
      <c r="R61" s="213" t="s">
        <v>5273</v>
      </c>
      <c r="S61" s="197">
        <f>S60-4</f>
        <v>59</v>
      </c>
      <c r="T61" s="213" t="s">
        <v>5274</v>
      </c>
      <c r="U61" s="213">
        <v>7461.3</v>
      </c>
      <c r="V61" s="213">
        <f t="shared" si="19"/>
        <v>7912.4122421917809</v>
      </c>
      <c r="W61" s="32">
        <f t="shared" si="20"/>
        <v>8070.6604870356168</v>
      </c>
      <c r="X61" s="32">
        <f t="shared" si="21"/>
        <v>8228.9087318794518</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848801085.75506234</v>
      </c>
      <c r="M62" s="113"/>
      <c r="N62" s="168"/>
      <c r="O62" s="115"/>
      <c r="P62" s="115"/>
      <c r="Q62" s="169">
        <v>354034</v>
      </c>
      <c r="R62" s="213" t="s">
        <v>5289</v>
      </c>
      <c r="S62" s="197">
        <f>S61-3</f>
        <v>56</v>
      </c>
      <c r="T62" s="213" t="s">
        <v>5290</v>
      </c>
      <c r="U62" s="213">
        <v>7048.7</v>
      </c>
      <c r="V62" s="213">
        <f t="shared" si="19"/>
        <v>7458.6446673972605</v>
      </c>
      <c r="W62" s="32">
        <f t="shared" si="20"/>
        <v>7607.8175607452058</v>
      </c>
      <c r="X62" s="32">
        <f t="shared" si="21"/>
        <v>7756.9904540931511</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512931</v>
      </c>
      <c r="R63" s="213" t="s">
        <v>973</v>
      </c>
      <c r="S63" s="197">
        <f>S62-4</f>
        <v>52</v>
      </c>
      <c r="T63" s="213" t="s">
        <v>5303</v>
      </c>
      <c r="U63" s="213">
        <v>298.39999999999998</v>
      </c>
      <c r="V63" s="213">
        <f t="shared" si="19"/>
        <v>314.83897863013698</v>
      </c>
      <c r="W63" s="32">
        <f t="shared" si="20"/>
        <v>321.13575820273974</v>
      </c>
      <c r="X63" s="32">
        <f t="shared" si="21"/>
        <v>327.4325377753425</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230024</v>
      </c>
      <c r="R64" s="213" t="s">
        <v>5309</v>
      </c>
      <c r="S64" s="197">
        <f>S63-3</f>
        <v>49</v>
      </c>
      <c r="T64" s="213" t="s">
        <v>5312</v>
      </c>
      <c r="U64" s="213">
        <v>296.2</v>
      </c>
      <c r="V64" s="213">
        <f t="shared" si="19"/>
        <v>311.83611397260273</v>
      </c>
      <c r="W64" s="32">
        <f t="shared" si="20"/>
        <v>318.0728362520548</v>
      </c>
      <c r="X64" s="32">
        <f t="shared" si="21"/>
        <v>324.30955853150687</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96"/>
      <c r="O65" s="96" t="s">
        <v>25</v>
      </c>
      <c r="P65" s="115"/>
      <c r="Q65" s="169">
        <v>1505833</v>
      </c>
      <c r="R65" s="213" t="s">
        <v>5309</v>
      </c>
      <c r="S65" s="197">
        <f>S64</f>
        <v>49</v>
      </c>
      <c r="T65" s="213" t="s">
        <v>5313</v>
      </c>
      <c r="U65" s="213">
        <v>6722.1</v>
      </c>
      <c r="V65" s="213">
        <f t="shared" si="19"/>
        <v>7076.9532131506858</v>
      </c>
      <c r="W65" s="32">
        <f t="shared" si="20"/>
        <v>7218.4922774136994</v>
      </c>
      <c r="X65" s="32">
        <f t="shared" si="21"/>
        <v>7360.0313416767131</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908423</v>
      </c>
      <c r="R66" s="213" t="s">
        <v>990</v>
      </c>
      <c r="S66" s="197">
        <f>S65-6</f>
        <v>43</v>
      </c>
      <c r="T66" s="213" t="s">
        <v>5326</v>
      </c>
      <c r="U66" s="213">
        <v>6905</v>
      </c>
      <c r="V66" s="213">
        <f t="shared" si="19"/>
        <v>7237.726410958905</v>
      </c>
      <c r="W66" s="32">
        <f t="shared" si="20"/>
        <v>7382.4809391780836</v>
      </c>
      <c r="X66" s="32">
        <f t="shared" si="21"/>
        <v>7527.2354673972613</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5102831</v>
      </c>
      <c r="R67" s="213" t="s">
        <v>4272</v>
      </c>
      <c r="S67" s="197">
        <f>S66-1</f>
        <v>42</v>
      </c>
      <c r="T67" s="213" t="s">
        <v>5330</v>
      </c>
      <c r="U67" s="213">
        <v>310.3</v>
      </c>
      <c r="V67" s="213">
        <f t="shared" si="19"/>
        <v>325.01417095890417</v>
      </c>
      <c r="W67" s="32">
        <f t="shared" si="20"/>
        <v>331.51445437808229</v>
      </c>
      <c r="X67" s="32">
        <f t="shared" si="21"/>
        <v>338.01473779726035</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200222</v>
      </c>
      <c r="R68" s="213" t="s">
        <v>5337</v>
      </c>
      <c r="S68" s="197">
        <f>S67-5</f>
        <v>37</v>
      </c>
      <c r="T68" s="213" t="s">
        <v>5343</v>
      </c>
      <c r="U68" s="213">
        <v>300.60000000000002</v>
      </c>
      <c r="V68" s="213">
        <f t="shared" si="19"/>
        <v>313.70121863013708</v>
      </c>
      <c r="W68" s="32">
        <f t="shared" si="20"/>
        <v>319.97524300273983</v>
      </c>
      <c r="X68" s="32">
        <f t="shared" si="21"/>
        <v>326.24926737534258</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188509</v>
      </c>
      <c r="R69" s="213" t="s">
        <v>5344</v>
      </c>
      <c r="S69" s="197">
        <f>S68-1</f>
        <v>36</v>
      </c>
      <c r="T69" s="213" t="s">
        <v>5345</v>
      </c>
      <c r="U69" s="213">
        <v>306.10000000000002</v>
      </c>
      <c r="V69" s="213">
        <f t="shared" si="19"/>
        <v>319.20611178082197</v>
      </c>
      <c r="W69" s="32">
        <f t="shared" si="20"/>
        <v>325.59023401643839</v>
      </c>
      <c r="X69" s="32">
        <f t="shared" si="21"/>
        <v>331.97435625205486</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458868</v>
      </c>
      <c r="R70" s="213" t="s">
        <v>5347</v>
      </c>
      <c r="S70" s="197">
        <f>S69-2</f>
        <v>34</v>
      </c>
      <c r="T70" s="213" t="s">
        <v>5349</v>
      </c>
      <c r="U70" s="213">
        <v>304.5</v>
      </c>
      <c r="V70" s="213">
        <f t="shared" si="19"/>
        <v>317.07042739726029</v>
      </c>
      <c r="W70" s="32">
        <f t="shared" si="20"/>
        <v>323.4118359452055</v>
      </c>
      <c r="X70" s="32">
        <f t="shared" si="21"/>
        <v>329.7532444931507</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1962799</v>
      </c>
      <c r="R71" s="213" t="s">
        <v>5353</v>
      </c>
      <c r="S71" s="197">
        <f>S70-3</f>
        <v>31</v>
      </c>
      <c r="T71" s="213" t="s">
        <v>5386</v>
      </c>
      <c r="U71" s="213">
        <v>6513.1</v>
      </c>
      <c r="V71" s="213">
        <f t="shared" si="19"/>
        <v>6766.9859912328775</v>
      </c>
      <c r="W71" s="32">
        <f t="shared" si="20"/>
        <v>6902.325711057535</v>
      </c>
      <c r="X71" s="32">
        <f t="shared" si="21"/>
        <v>7037.6654308821926</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459771</v>
      </c>
      <c r="R72" s="213" t="s">
        <v>5353</v>
      </c>
      <c r="S72" s="197">
        <f>S71</f>
        <v>31</v>
      </c>
      <c r="T72" s="213" t="s">
        <v>5354</v>
      </c>
      <c r="U72" s="213">
        <v>305.10000000000002</v>
      </c>
      <c r="V72" s="213">
        <f t="shared" si="19"/>
        <v>316.99304876712335</v>
      </c>
      <c r="W72" s="32">
        <f t="shared" si="20"/>
        <v>323.3329097424658</v>
      </c>
      <c r="X72" s="32">
        <f t="shared" si="21"/>
        <v>329.67277071780831</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5364</v>
      </c>
      <c r="O73" t="s">
        <v>25</v>
      </c>
      <c r="P73" s="115"/>
      <c r="Q73" s="169">
        <v>101835</v>
      </c>
      <c r="R73" s="213" t="s">
        <v>5356</v>
      </c>
      <c r="S73" s="197">
        <f>S72-2</f>
        <v>29</v>
      </c>
      <c r="T73" s="213" t="s">
        <v>5357</v>
      </c>
      <c r="U73" s="213">
        <v>304.39999999999998</v>
      </c>
      <c r="V73" s="213">
        <f t="shared" si="19"/>
        <v>315.79873753424653</v>
      </c>
      <c r="W73" s="32">
        <f t="shared" si="20"/>
        <v>322.11471228493144</v>
      </c>
      <c r="X73" s="32">
        <f t="shared" si="21"/>
        <v>328.43068703561642</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5018771</v>
      </c>
      <c r="N74" s="113">
        <f>M74*P47</f>
        <v>1680786407.8999999</v>
      </c>
      <c r="P74" s="115"/>
      <c r="Q74" s="169">
        <v>154568</v>
      </c>
      <c r="R74" s="213" t="s">
        <v>5358</v>
      </c>
      <c r="S74" s="197">
        <f>S73-2</f>
        <v>27</v>
      </c>
      <c r="T74" s="213" t="s">
        <v>5361</v>
      </c>
      <c r="U74" s="213">
        <v>6690</v>
      </c>
      <c r="V74" s="213">
        <f t="shared" si="19"/>
        <v>6930.2534794520561</v>
      </c>
      <c r="W74" s="32">
        <f t="shared" si="20"/>
        <v>7068.8585490410969</v>
      </c>
      <c r="X74" s="32">
        <f t="shared" si="21"/>
        <v>7207.4636186301386</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306634</v>
      </c>
      <c r="R75" s="213" t="s">
        <v>5371</v>
      </c>
      <c r="S75" s="197">
        <f>S74-5</f>
        <v>22</v>
      </c>
      <c r="T75" s="213" t="s">
        <v>5373</v>
      </c>
      <c r="U75" s="213">
        <v>303.7</v>
      </c>
      <c r="V75" s="213">
        <f t="shared" si="19"/>
        <v>313.4416975342466</v>
      </c>
      <c r="W75" s="32">
        <f t="shared" si="20"/>
        <v>319.71053148493155</v>
      </c>
      <c r="X75" s="32">
        <f t="shared" si="21"/>
        <v>325.9793654356165</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t="s">
        <v>25</v>
      </c>
      <c r="R76" s="168" t="s">
        <v>25</v>
      </c>
      <c r="S76" s="168"/>
      <c r="T76" s="168"/>
      <c r="U76" s="168"/>
      <c r="V76" s="213">
        <f t="shared" si="19"/>
        <v>0</v>
      </c>
      <c r="W76" s="32">
        <f t="shared" si="20"/>
        <v>0</v>
      </c>
      <c r="X76" s="32">
        <f t="shared" si="21"/>
        <v>0</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f>SUM(N21:N25)-SUM(Q20:Q76)</f>
        <v>262880159.0999999</v>
      </c>
      <c r="R77" s="168"/>
      <c r="S77" s="168" t="s">
        <v>25</v>
      </c>
      <c r="T77" s="168"/>
      <c r="U77" s="168"/>
      <c r="V77" s="168"/>
      <c r="W77" s="32"/>
      <c r="X77" s="32"/>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R78" s="115" t="s">
        <v>25</v>
      </c>
      <c r="S78" s="115" t="s">
        <v>25</v>
      </c>
      <c r="T78" s="122" t="s">
        <v>25</v>
      </c>
      <c r="U78" s="115" t="s">
        <v>25</v>
      </c>
      <c r="V78" s="115" t="s">
        <v>25</v>
      </c>
      <c r="W78" s="194" t="s">
        <v>25</v>
      </c>
      <c r="X78" s="194"/>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Q79" s="96"/>
      <c r="R79" s="115" t="s">
        <v>25</v>
      </c>
      <c r="S79" s="115"/>
      <c r="T79" s="115" t="s">
        <v>25</v>
      </c>
      <c r="U79" s="115" t="s">
        <v>25</v>
      </c>
      <c r="V79" s="122" t="s">
        <v>25</v>
      </c>
      <c r="W79" s="194"/>
      <c r="X79" s="194" t="s">
        <v>25</v>
      </c>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168" t="s">
        <v>656</v>
      </c>
      <c r="R80" s="168"/>
      <c r="S80" s="168"/>
      <c r="T80" s="168"/>
      <c r="U80" s="168"/>
      <c r="V80" s="168"/>
      <c r="W80" s="32"/>
      <c r="X80" s="32"/>
      <c r="Z80" t="s">
        <v>25</v>
      </c>
      <c r="AC80" s="115"/>
      <c r="AD80" s="115"/>
      <c r="AE80" s="115"/>
      <c r="AF80"/>
      <c r="AH80" s="20">
        <v>60</v>
      </c>
      <c r="AI80" s="117" t="s">
        <v>4338</v>
      </c>
      <c r="AJ80" s="117">
        <v>-2450000</v>
      </c>
      <c r="AK80" s="20">
        <v>5</v>
      </c>
      <c r="AL80" s="99">
        <f t="shared" si="23"/>
        <v>383</v>
      </c>
      <c r="AM80" s="117">
        <f>AJ80*AL80</f>
        <v>-938350000</v>
      </c>
      <c r="AN80" s="20"/>
    </row>
    <row r="81" spans="4:52" ht="30">
      <c r="D81" s="31" t="s">
        <v>308</v>
      </c>
      <c r="E81" s="1">
        <v>300000</v>
      </c>
      <c r="G81" s="47">
        <v>500000</v>
      </c>
      <c r="H81" s="48" t="s">
        <v>785</v>
      </c>
      <c r="K81" t="s">
        <v>4520</v>
      </c>
      <c r="Q81" s="168" t="s">
        <v>267</v>
      </c>
      <c r="R81" s="168" t="s">
        <v>180</v>
      </c>
      <c r="S81" s="168" t="s">
        <v>183</v>
      </c>
      <c r="T81" s="168" t="s">
        <v>8</v>
      </c>
      <c r="U81" s="168" t="s">
        <v>4353</v>
      </c>
      <c r="V81" s="73" t="s">
        <v>4355</v>
      </c>
      <c r="W81" s="32">
        <v>2</v>
      </c>
      <c r="X81" s="32">
        <v>4</v>
      </c>
      <c r="AD81" s="115"/>
      <c r="AE81" s="115"/>
      <c r="AF81" s="115"/>
      <c r="AH81" s="20">
        <v>61</v>
      </c>
      <c r="AI81" s="117" t="s">
        <v>4362</v>
      </c>
      <c r="AJ81" s="117">
        <v>-456081</v>
      </c>
      <c r="AK81" s="20">
        <v>1</v>
      </c>
      <c r="AL81" s="99">
        <f t="shared" si="23"/>
        <v>378</v>
      </c>
      <c r="AM81" s="117">
        <f t="shared" si="11"/>
        <v>-172398618</v>
      </c>
      <c r="AN81" s="20"/>
    </row>
    <row r="82" spans="4:52">
      <c r="D82" s="31" t="s">
        <v>309</v>
      </c>
      <c r="E82" s="1">
        <v>100000</v>
      </c>
      <c r="G82" s="47">
        <v>75000</v>
      </c>
      <c r="H82" s="48" t="s">
        <v>786</v>
      </c>
      <c r="K82" t="s">
        <v>4287</v>
      </c>
      <c r="Q82" s="168">
        <v>0</v>
      </c>
      <c r="R82" s="168" t="s">
        <v>4167</v>
      </c>
      <c r="S82" s="168">
        <f>S122</f>
        <v>430</v>
      </c>
      <c r="T82" s="168"/>
      <c r="U82" s="168"/>
      <c r="V82" s="73"/>
      <c r="W82" s="32"/>
      <c r="X82" s="32"/>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9">
        <v>863944</v>
      </c>
      <c r="R83" s="168" t="s">
        <v>4423</v>
      </c>
      <c r="S83" s="168">
        <f>S82-62</f>
        <v>368</v>
      </c>
      <c r="T83" s="190" t="s">
        <v>4494</v>
      </c>
      <c r="U83" s="168">
        <v>184.6</v>
      </c>
      <c r="V83" s="168">
        <f t="shared" ref="V83:V113" si="24">U83*(1+$R$118+$Q$15*S83/36500)</f>
        <v>239.51875287671234</v>
      </c>
      <c r="W83" s="32">
        <f t="shared" ref="W83:W111" si="25">V83*(1+$W$19/100)</f>
        <v>244.30912793424659</v>
      </c>
      <c r="X83" s="32">
        <f t="shared" ref="X83:X111" si="26">V83*(1+$X$19/100)</f>
        <v>249.09950299178084</v>
      </c>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1692313</v>
      </c>
      <c r="R84" s="168" t="s">
        <v>4497</v>
      </c>
      <c r="S84" s="197">
        <f>S83-21</f>
        <v>347</v>
      </c>
      <c r="T84" s="189" t="s">
        <v>4498</v>
      </c>
      <c r="U84" s="168">
        <v>168.5</v>
      </c>
      <c r="V84" s="168">
        <f t="shared" si="24"/>
        <v>215.91451506849319</v>
      </c>
      <c r="W84" s="32">
        <f t="shared" si="25"/>
        <v>220.23280536986306</v>
      </c>
      <c r="X84" s="32">
        <f t="shared" si="26"/>
        <v>224.55109567123293</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101153</v>
      </c>
      <c r="R85" s="168" t="s">
        <v>4500</v>
      </c>
      <c r="S85" s="197">
        <f>S84-1</f>
        <v>346</v>
      </c>
      <c r="T85" s="189" t="s">
        <v>4502</v>
      </c>
      <c r="U85" s="168">
        <v>166.7</v>
      </c>
      <c r="V85" s="168">
        <f t="shared" si="24"/>
        <v>213.48013041095888</v>
      </c>
      <c r="W85" s="32">
        <f t="shared" si="25"/>
        <v>217.74973301917805</v>
      </c>
      <c r="X85" s="32">
        <f t="shared" si="26"/>
        <v>222.01933562739725</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183105</v>
      </c>
      <c r="R86" s="168" t="s">
        <v>4222</v>
      </c>
      <c r="S86" s="197">
        <f>S85-1</f>
        <v>345</v>
      </c>
      <c r="T86" s="189" t="s">
        <v>4506</v>
      </c>
      <c r="U86" s="168">
        <v>166.6</v>
      </c>
      <c r="V86" s="168">
        <f t="shared" si="24"/>
        <v>213.22426520547947</v>
      </c>
      <c r="W86" s="32">
        <f t="shared" si="25"/>
        <v>217.48875050958907</v>
      </c>
      <c r="X86" s="32">
        <f t="shared" si="26"/>
        <v>221.75323581369867</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168846</v>
      </c>
      <c r="R87" s="168" t="s">
        <v>3688</v>
      </c>
      <c r="S87" s="197">
        <f>S86-30</f>
        <v>315</v>
      </c>
      <c r="T87" s="189" t="s">
        <v>4603</v>
      </c>
      <c r="U87" s="168">
        <v>172.2</v>
      </c>
      <c r="V87" s="168">
        <f t="shared" si="24"/>
        <v>216.42850849315067</v>
      </c>
      <c r="W87" s="32">
        <f t="shared" si="25"/>
        <v>220.75707866301369</v>
      </c>
      <c r="X87" s="32">
        <f t="shared" si="26"/>
        <v>225.0856488328767</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19918023</v>
      </c>
      <c r="R88" s="5" t="s">
        <v>4854</v>
      </c>
      <c r="S88" s="197">
        <f>S87-75</f>
        <v>240</v>
      </c>
      <c r="T88" s="189" t="s">
        <v>4856</v>
      </c>
      <c r="U88" s="213">
        <v>183</v>
      </c>
      <c r="V88" s="213">
        <f t="shared" si="24"/>
        <v>219.47365479452057</v>
      </c>
      <c r="W88" s="32">
        <f t="shared" si="25"/>
        <v>223.86312789041099</v>
      </c>
      <c r="X88" s="32">
        <f t="shared" si="26"/>
        <v>228.25260098630139</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1200301</v>
      </c>
      <c r="R89" s="19" t="s">
        <v>4941</v>
      </c>
      <c r="S89" s="197">
        <f>S88-34</f>
        <v>206</v>
      </c>
      <c r="T89" s="189" t="s">
        <v>4943</v>
      </c>
      <c r="U89" s="213">
        <v>218.5</v>
      </c>
      <c r="V89" s="213">
        <f t="shared" si="24"/>
        <v>256.35018630136989</v>
      </c>
      <c r="W89" s="32">
        <f t="shared" si="25"/>
        <v>261.47719002739728</v>
      </c>
      <c r="X89" s="32">
        <f t="shared" si="26"/>
        <v>266.60419375342468</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6135206</v>
      </c>
      <c r="R90" s="19" t="s">
        <v>4970</v>
      </c>
      <c r="S90" s="197">
        <f>S89-16</f>
        <v>190</v>
      </c>
      <c r="T90" s="189" t="s">
        <v>4971</v>
      </c>
      <c r="U90" s="213">
        <v>196.2</v>
      </c>
      <c r="V90" s="213">
        <f t="shared" si="24"/>
        <v>227.77906191780824</v>
      </c>
      <c r="W90" s="32">
        <f t="shared" si="25"/>
        <v>232.33464315616442</v>
      </c>
      <c r="X90" s="32">
        <f t="shared" si="26"/>
        <v>236.89022439452057</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5384</v>
      </c>
      <c r="Q91" s="169">
        <v>104578</v>
      </c>
      <c r="R91" s="19" t="s">
        <v>4992</v>
      </c>
      <c r="S91" s="197">
        <f>S90-9</f>
        <v>181</v>
      </c>
      <c r="T91" s="189" t="s">
        <v>4993</v>
      </c>
      <c r="U91" s="213">
        <v>199.8</v>
      </c>
      <c r="V91" s="213">
        <f t="shared" si="24"/>
        <v>230.57905315068496</v>
      </c>
      <c r="W91" s="32">
        <f t="shared" si="25"/>
        <v>235.19063421369867</v>
      </c>
      <c r="X91" s="32">
        <f t="shared" si="26"/>
        <v>239.80221527671236</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5391</v>
      </c>
      <c r="P92" s="115"/>
      <c r="Q92" s="169">
        <v>119253</v>
      </c>
      <c r="R92" s="19" t="s">
        <v>4997</v>
      </c>
      <c r="S92" s="197">
        <f>S91-3</f>
        <v>178</v>
      </c>
      <c r="T92" s="189" t="s">
        <v>4998</v>
      </c>
      <c r="U92" s="213">
        <v>199.5</v>
      </c>
      <c r="V92" s="213">
        <f t="shared" si="24"/>
        <v>229.77371506849317</v>
      </c>
      <c r="W92" s="32">
        <f t="shared" si="25"/>
        <v>234.36918936986305</v>
      </c>
      <c r="X92" s="32">
        <f t="shared" si="26"/>
        <v>238.9646636712329</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30004376</v>
      </c>
      <c r="R93" s="19" t="s">
        <v>5016</v>
      </c>
      <c r="S93" s="197">
        <f>S92-9</f>
        <v>169</v>
      </c>
      <c r="T93" s="189" t="s">
        <v>5017</v>
      </c>
      <c r="U93" s="213">
        <v>200</v>
      </c>
      <c r="V93" s="213">
        <f t="shared" si="24"/>
        <v>228.96876712328771</v>
      </c>
      <c r="W93" s="32">
        <f t="shared" si="25"/>
        <v>233.54814246575347</v>
      </c>
      <c r="X93" s="32">
        <f t="shared" si="26"/>
        <v>238.12751780821921</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119980</v>
      </c>
      <c r="R94" s="19" t="s">
        <v>5044</v>
      </c>
      <c r="S94" s="197">
        <f>S93-8</f>
        <v>161</v>
      </c>
      <c r="T94" s="189" t="s">
        <v>5047</v>
      </c>
      <c r="U94" s="213">
        <v>211</v>
      </c>
      <c r="V94" s="213">
        <f t="shared" si="24"/>
        <v>240.26714520547947</v>
      </c>
      <c r="W94" s="32">
        <f t="shared" si="25"/>
        <v>245.07248810958905</v>
      </c>
      <c r="X94" s="32">
        <f t="shared" si="26"/>
        <v>249.87783101369865</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106716</v>
      </c>
      <c r="R95" s="19" t="s">
        <v>5063</v>
      </c>
      <c r="S95" s="197">
        <f>S94-6</f>
        <v>155</v>
      </c>
      <c r="T95" s="189" t="s">
        <v>5065</v>
      </c>
      <c r="U95" s="213">
        <v>213.3</v>
      </c>
      <c r="V95" s="213">
        <f t="shared" si="24"/>
        <v>241.90440657534251</v>
      </c>
      <c r="W95" s="32">
        <f t="shared" si="25"/>
        <v>246.74249470684936</v>
      </c>
      <c r="X95" s="32">
        <f t="shared" si="26"/>
        <v>251.58058283835621</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1324444</v>
      </c>
      <c r="R96" s="19" t="s">
        <v>5063</v>
      </c>
      <c r="S96" s="197">
        <f>S95</f>
        <v>155</v>
      </c>
      <c r="T96" s="189" t="s">
        <v>5067</v>
      </c>
      <c r="U96" s="213">
        <v>821.9</v>
      </c>
      <c r="V96" s="213">
        <f t="shared" si="24"/>
        <v>932.12016767123293</v>
      </c>
      <c r="W96" s="32">
        <f t="shared" si="25"/>
        <v>950.76257102465763</v>
      </c>
      <c r="X96" s="32">
        <f t="shared" si="26"/>
        <v>969.40497437808233</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240923</v>
      </c>
      <c r="R97" s="19" t="s">
        <v>5093</v>
      </c>
      <c r="S97" s="197">
        <f>S96-19</f>
        <v>136</v>
      </c>
      <c r="T97" s="189" t="s">
        <v>5095</v>
      </c>
      <c r="U97" s="213">
        <v>691.1</v>
      </c>
      <c r="V97" s="213">
        <f t="shared" si="24"/>
        <v>773.70633095890423</v>
      </c>
      <c r="W97" s="32">
        <f t="shared" si="25"/>
        <v>789.18045757808238</v>
      </c>
      <c r="X97" s="32">
        <f t="shared" si="26"/>
        <v>804.65458419726042</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1408805</v>
      </c>
      <c r="R98" s="19" t="s">
        <v>5100</v>
      </c>
      <c r="S98" s="197">
        <f>S97-2</f>
        <v>134</v>
      </c>
      <c r="T98" s="189" t="s">
        <v>5102</v>
      </c>
      <c r="U98" s="213">
        <v>235.2</v>
      </c>
      <c r="V98" s="213">
        <f t="shared" si="24"/>
        <v>262.95231123287675</v>
      </c>
      <c r="W98" s="32">
        <f t="shared" si="25"/>
        <v>268.21135745753429</v>
      </c>
      <c r="X98" s="32">
        <f t="shared" si="26"/>
        <v>273.47040368219183</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4507053</v>
      </c>
      <c r="R99" s="19" t="s">
        <v>5104</v>
      </c>
      <c r="S99" s="197">
        <f>S98-1</f>
        <v>133</v>
      </c>
      <c r="T99" s="189" t="s">
        <v>5105</v>
      </c>
      <c r="U99" s="213">
        <v>225</v>
      </c>
      <c r="V99" s="213">
        <f t="shared" si="24"/>
        <v>251.37616438356164</v>
      </c>
      <c r="W99" s="32">
        <f t="shared" si="25"/>
        <v>256.40368767123289</v>
      </c>
      <c r="X99" s="32">
        <f t="shared" si="26"/>
        <v>261.4312109589041</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1927152</v>
      </c>
      <c r="R100" s="19" t="s">
        <v>5098</v>
      </c>
      <c r="S100" s="197">
        <f>S99-1</f>
        <v>132</v>
      </c>
      <c r="T100" s="189" t="s">
        <v>5106</v>
      </c>
      <c r="U100" s="213">
        <v>232.6</v>
      </c>
      <c r="V100" s="213">
        <f t="shared" si="24"/>
        <v>259.68865972602742</v>
      </c>
      <c r="W100" s="32">
        <f t="shared" si="25"/>
        <v>264.88243292054796</v>
      </c>
      <c r="X100" s="32">
        <f t="shared" si="26"/>
        <v>270.07620611506854</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40486</v>
      </c>
      <c r="R101" s="19" t="s">
        <v>5123</v>
      </c>
      <c r="S101" s="197">
        <f>S100-13</f>
        <v>119</v>
      </c>
      <c r="T101" s="189" t="s">
        <v>5160</v>
      </c>
      <c r="U101" s="213">
        <v>707</v>
      </c>
      <c r="V101" s="213">
        <f t="shared" si="24"/>
        <v>782.28678356164392</v>
      </c>
      <c r="W101" s="32">
        <f t="shared" si="25"/>
        <v>797.93251923287676</v>
      </c>
      <c r="X101" s="32">
        <f t="shared" si="26"/>
        <v>813.57825490410971</v>
      </c>
      <c r="Y101" s="96">
        <v>0</v>
      </c>
      <c r="AH101" s="99">
        <v>81</v>
      </c>
      <c r="AI101" s="113" t="s">
        <v>4543</v>
      </c>
      <c r="AJ101" s="113">
        <v>400000</v>
      </c>
      <c r="AK101" s="99">
        <v>0</v>
      </c>
      <c r="AL101" s="99">
        <f t="shared" si="27"/>
        <v>334</v>
      </c>
      <c r="AM101" s="117">
        <f t="shared" si="11"/>
        <v>133600000</v>
      </c>
      <c r="AN101" s="99"/>
    </row>
    <row r="102" spans="4:47">
      <c r="F102" s="199">
        <f>$L$110/G102</f>
        <v>13478.650343386087</v>
      </c>
      <c r="G102" s="199">
        <f>P47</f>
        <v>334.9</v>
      </c>
      <c r="H102" s="199" t="s">
        <v>4773</v>
      </c>
      <c r="I102" s="199" t="s">
        <v>4772</v>
      </c>
      <c r="J102" s="214" t="s">
        <v>4234</v>
      </c>
      <c r="K102" s="199">
        <v>175</v>
      </c>
      <c r="L102" s="215">
        <f t="shared" ref="L102:L107" si="28">K102*$L$110</f>
        <v>789950000</v>
      </c>
      <c r="M102" s="215">
        <f>N21+N31+N47</f>
        <v>1680786407.8999999</v>
      </c>
      <c r="N102" s="183">
        <f t="shared" ref="N102:N106" si="29">L102-M102</f>
        <v>-890836407.89999986</v>
      </c>
      <c r="Q102" s="169">
        <v>160558</v>
      </c>
      <c r="R102" s="19" t="s">
        <v>5193</v>
      </c>
      <c r="S102" s="197">
        <f>S101-36</f>
        <v>83</v>
      </c>
      <c r="T102" s="189" t="s">
        <v>5195</v>
      </c>
      <c r="U102" s="213">
        <v>4319.3999999999996</v>
      </c>
      <c r="V102" s="213">
        <f t="shared" si="24"/>
        <v>4660.0764032876714</v>
      </c>
      <c r="W102" s="32">
        <f t="shared" si="25"/>
        <v>4753.2779313534247</v>
      </c>
      <c r="X102" s="32">
        <f t="shared" si="26"/>
        <v>4846.4794594191781</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123799</v>
      </c>
      <c r="R103" s="19" t="s">
        <v>5193</v>
      </c>
      <c r="S103" s="197">
        <f>S102</f>
        <v>83</v>
      </c>
      <c r="T103" s="189" t="s">
        <v>5196</v>
      </c>
      <c r="U103" s="213">
        <v>790</v>
      </c>
      <c r="V103" s="213">
        <f t="shared" si="24"/>
        <v>852.30827397260282</v>
      </c>
      <c r="W103" s="32">
        <f t="shared" si="25"/>
        <v>869.35443945205486</v>
      </c>
      <c r="X103" s="32">
        <f t="shared" si="26"/>
        <v>886.40060493150702</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108400</v>
      </c>
      <c r="R104" s="19" t="s">
        <v>5198</v>
      </c>
      <c r="S104" s="197">
        <f>S103-3</f>
        <v>80</v>
      </c>
      <c r="T104" s="189" t="s">
        <v>5199</v>
      </c>
      <c r="U104" s="213">
        <v>4316</v>
      </c>
      <c r="V104" s="213">
        <f t="shared" si="24"/>
        <v>4646.4755287671242</v>
      </c>
      <c r="W104" s="32">
        <f t="shared" si="25"/>
        <v>4739.4050393424668</v>
      </c>
      <c r="X104" s="32">
        <f t="shared" si="26"/>
        <v>4832.3345499178095</v>
      </c>
      <c r="Y104" s="96">
        <v>5664</v>
      </c>
      <c r="AH104" s="99">
        <v>84</v>
      </c>
      <c r="AI104" s="113" t="s">
        <v>4546</v>
      </c>
      <c r="AJ104" s="113">
        <v>3900000</v>
      </c>
      <c r="AK104" s="99">
        <v>3</v>
      </c>
      <c r="AL104" s="99">
        <f t="shared" si="27"/>
        <v>333</v>
      </c>
      <c r="AM104" s="117">
        <f t="shared" si="11"/>
        <v>1298700000</v>
      </c>
      <c r="AN104" s="99"/>
    </row>
    <row r="105" spans="4:47">
      <c r="F105" s="213">
        <f>$L$110/G105</f>
        <v>5244.568374578831</v>
      </c>
      <c r="G105" s="213">
        <f>P45</f>
        <v>860.7</v>
      </c>
      <c r="H105" s="213" t="s">
        <v>4665</v>
      </c>
      <c r="I105" s="213" t="s">
        <v>4664</v>
      </c>
      <c r="J105" s="32" t="s">
        <v>4398</v>
      </c>
      <c r="K105" s="213">
        <v>43</v>
      </c>
      <c r="L105" s="1">
        <f t="shared" si="28"/>
        <v>194102000</v>
      </c>
      <c r="M105" s="1">
        <f>N45+N25</f>
        <v>214781660.09999999</v>
      </c>
      <c r="N105" s="113">
        <f t="shared" si="29"/>
        <v>-20679660.099999994</v>
      </c>
      <c r="Q105" s="169">
        <v>11503451</v>
      </c>
      <c r="R105" s="19" t="s">
        <v>5239</v>
      </c>
      <c r="S105" s="197">
        <f>S104-17</f>
        <v>63</v>
      </c>
      <c r="T105" s="189" t="s">
        <v>5240</v>
      </c>
      <c r="U105" s="213">
        <v>293.2</v>
      </c>
      <c r="V105" s="213">
        <f t="shared" si="24"/>
        <v>311.826634520548</v>
      </c>
      <c r="W105" s="32">
        <f t="shared" si="25"/>
        <v>318.06316721095897</v>
      </c>
      <c r="X105" s="32">
        <f t="shared" si="26"/>
        <v>324.29969990136993</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4514000</v>
      </c>
      <c r="M106" s="215">
        <f>0</f>
        <v>0</v>
      </c>
      <c r="N106" s="183">
        <f t="shared" si="29"/>
        <v>4514000</v>
      </c>
      <c r="Q106" s="169">
        <v>6153126</v>
      </c>
      <c r="R106" s="19" t="s">
        <v>5273</v>
      </c>
      <c r="S106" s="197">
        <f>S105-4</f>
        <v>59</v>
      </c>
      <c r="T106" s="189" t="s">
        <v>5275</v>
      </c>
      <c r="U106" s="213">
        <v>7469.9</v>
      </c>
      <c r="V106" s="213">
        <f t="shared" si="24"/>
        <v>7921.5322005479447</v>
      </c>
      <c r="W106" s="32">
        <f t="shared" si="25"/>
        <v>8079.9628445589042</v>
      </c>
      <c r="X106" s="32">
        <f t="shared" si="26"/>
        <v>8238.3934885698636</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5367</v>
      </c>
      <c r="K107" s="191">
        <v>194</v>
      </c>
      <c r="L107" s="258">
        <f t="shared" si="28"/>
        <v>875716000</v>
      </c>
      <c r="M107" s="258">
        <v>0</v>
      </c>
      <c r="N107" s="86">
        <f>L107-M107</f>
        <v>875716000</v>
      </c>
      <c r="Q107" s="169">
        <v>1500533</v>
      </c>
      <c r="R107" s="19" t="s">
        <v>5278</v>
      </c>
      <c r="S107" s="197">
        <f>S106-1</f>
        <v>58</v>
      </c>
      <c r="T107" s="189" t="s">
        <v>5280</v>
      </c>
      <c r="U107" s="213">
        <v>7046</v>
      </c>
      <c r="V107" s="213">
        <f t="shared" si="24"/>
        <v>7466.597939726028</v>
      </c>
      <c r="W107" s="32">
        <f t="shared" si="25"/>
        <v>7615.9298985205487</v>
      </c>
      <c r="X107" s="32">
        <f t="shared" si="26"/>
        <v>7765.2618573150694</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360926</v>
      </c>
      <c r="R108" s="19" t="s">
        <v>5289</v>
      </c>
      <c r="S108" s="197">
        <f>S107-2</f>
        <v>56</v>
      </c>
      <c r="T108" s="189" t="s">
        <v>5292</v>
      </c>
      <c r="U108" s="213">
        <v>7045</v>
      </c>
      <c r="V108" s="213">
        <f t="shared" si="24"/>
        <v>7454.7294794520558</v>
      </c>
      <c r="W108" s="32">
        <f t="shared" si="25"/>
        <v>7603.8240690410967</v>
      </c>
      <c r="X108" s="32">
        <f t="shared" si="26"/>
        <v>7752.9186586301385</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413</v>
      </c>
      <c r="L109" s="215"/>
      <c r="M109" s="215"/>
      <c r="N109" s="183"/>
      <c r="Q109" s="169">
        <v>232964</v>
      </c>
      <c r="R109" s="19" t="s">
        <v>5309</v>
      </c>
      <c r="S109" s="197">
        <f>S108-7</f>
        <v>49</v>
      </c>
      <c r="T109" s="189" t="s">
        <v>5310</v>
      </c>
      <c r="U109" s="213">
        <v>295.39999999999998</v>
      </c>
      <c r="V109" s="213">
        <f t="shared" si="24"/>
        <v>310.99388273972602</v>
      </c>
      <c r="W109" s="32">
        <f t="shared" si="25"/>
        <v>317.21376039452053</v>
      </c>
      <c r="X109" s="32">
        <f t="shared" si="26"/>
        <v>323.43363804931505</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4514000</v>
      </c>
      <c r="M110" s="1">
        <f>K110*L110</f>
        <v>0</v>
      </c>
      <c r="N110" s="113">
        <f>SUM(N102:N108)-M110</f>
        <v>-1286067.9999998808</v>
      </c>
      <c r="P110" s="114"/>
      <c r="Q110" s="169">
        <v>1005042</v>
      </c>
      <c r="R110" s="19" t="s">
        <v>5320</v>
      </c>
      <c r="S110" s="197">
        <f>S109-5</f>
        <v>44</v>
      </c>
      <c r="T110" s="189" t="s">
        <v>5322</v>
      </c>
      <c r="U110" s="213">
        <v>7250</v>
      </c>
      <c r="V110" s="213">
        <f t="shared" si="24"/>
        <v>7604.9123287671237</v>
      </c>
      <c r="W110" s="32">
        <f t="shared" si="25"/>
        <v>7757.0105753424659</v>
      </c>
      <c r="X110" s="32">
        <f t="shared" si="26"/>
        <v>7909.1088219178091</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233944</v>
      </c>
      <c r="R111" s="19" t="s">
        <v>5344</v>
      </c>
      <c r="S111" s="197">
        <f>S110-8</f>
        <v>36</v>
      </c>
      <c r="T111" s="189" t="s">
        <v>5346</v>
      </c>
      <c r="U111" s="213">
        <v>306.39999999999998</v>
      </c>
      <c r="V111" s="213">
        <f t="shared" si="24"/>
        <v>319.51895671232876</v>
      </c>
      <c r="W111" s="32">
        <f t="shared" si="25"/>
        <v>325.90933584657535</v>
      </c>
      <c r="X111" s="32">
        <f t="shared" si="26"/>
        <v>332.29971498082193</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268420</v>
      </c>
      <c r="R112" s="19" t="s">
        <v>5358</v>
      </c>
      <c r="S112" s="197">
        <f>S111-9</f>
        <v>27</v>
      </c>
      <c r="T112" s="189" t="s">
        <v>5360</v>
      </c>
      <c r="U112" s="213">
        <v>6680.2</v>
      </c>
      <c r="V112" s="213">
        <f t="shared" si="24"/>
        <v>6920.1015386301378</v>
      </c>
      <c r="W112" s="32">
        <f t="shared" ref="W112:W113" si="30">V112*(1+$W$19/100)</f>
        <v>7058.503569402741</v>
      </c>
      <c r="X112" s="32">
        <f t="shared" ref="X112:X113" si="31">V112*(1+$X$19/100)</f>
        <v>7196.9056001753434</v>
      </c>
      <c r="Y112">
        <v>13000</v>
      </c>
      <c r="AH112" s="99">
        <v>92</v>
      </c>
      <c r="AI112" s="113" t="s">
        <v>4573</v>
      </c>
      <c r="AJ112" s="113">
        <v>-15000000</v>
      </c>
      <c r="AK112" s="99">
        <v>0</v>
      </c>
      <c r="AL112" s="99">
        <f t="shared" si="27"/>
        <v>320</v>
      </c>
      <c r="AM112" s="117">
        <f t="shared" si="11"/>
        <v>-4800000000</v>
      </c>
      <c r="AN112" s="99"/>
      <c r="AO112" t="s">
        <v>25</v>
      </c>
    </row>
    <row r="113" spans="6:46">
      <c r="M113" t="s">
        <v>25</v>
      </c>
      <c r="Q113" s="169"/>
      <c r="R113" s="168"/>
      <c r="S113" s="113"/>
      <c r="T113" s="113"/>
      <c r="U113" s="168" t="s">
        <v>25</v>
      </c>
      <c r="V113" s="213" t="e">
        <f t="shared" si="24"/>
        <v>#VALUE!</v>
      </c>
      <c r="W113" s="32" t="e">
        <f t="shared" si="30"/>
        <v>#VALUE!</v>
      </c>
      <c r="X113" s="32" t="e">
        <f t="shared" si="31"/>
        <v>#VALUE!</v>
      </c>
      <c r="Y113" t="s">
        <v>25</v>
      </c>
      <c r="AH113" s="99">
        <v>93</v>
      </c>
      <c r="AI113" s="113" t="s">
        <v>4573</v>
      </c>
      <c r="AJ113" s="113">
        <v>3000000</v>
      </c>
      <c r="AK113" s="99">
        <v>1</v>
      </c>
      <c r="AL113" s="99">
        <f t="shared" si="27"/>
        <v>320</v>
      </c>
      <c r="AM113" s="117">
        <f t="shared" si="11"/>
        <v>960000000</v>
      </c>
      <c r="AN113" s="99"/>
    </row>
    <row r="114" spans="6:46">
      <c r="P114" s="114"/>
      <c r="Q114" s="113">
        <f>SUM(N28:N31)-SUM(Q82:Q113)</f>
        <v>48996713.599999994</v>
      </c>
      <c r="R114" s="168"/>
      <c r="S114" s="168"/>
      <c r="T114" s="168"/>
      <c r="U114" s="168"/>
      <c r="V114" s="168"/>
      <c r="W114" s="32"/>
      <c r="X114" s="32"/>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R115" s="115"/>
      <c r="S115" s="115"/>
      <c r="T115" s="115" t="s">
        <v>25</v>
      </c>
      <c r="U115" s="115" t="s">
        <v>25</v>
      </c>
      <c r="V115" s="115" t="s">
        <v>25</v>
      </c>
      <c r="W115" s="194" t="s">
        <v>25</v>
      </c>
      <c r="X115" s="194"/>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Q116" s="99" t="s">
        <v>947</v>
      </c>
      <c r="R116" s="99">
        <v>1.03E-2</v>
      </c>
      <c r="S116" s="26" t="s">
        <v>25</v>
      </c>
      <c r="T116" t="s">
        <v>25</v>
      </c>
      <c r="U116" s="96"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5307</v>
      </c>
      <c r="I117" s="213" t="s">
        <v>5296</v>
      </c>
      <c r="J117" s="1">
        <v>19922415</v>
      </c>
      <c r="K117" s="5" t="s">
        <v>4520</v>
      </c>
      <c r="L117" s="169">
        <v>1100000</v>
      </c>
      <c r="M117" s="169">
        <v>4748000</v>
      </c>
      <c r="N117" s="168">
        <f t="shared" si="32"/>
        <v>331.63636363636363</v>
      </c>
      <c r="Q117" s="99" t="s">
        <v>61</v>
      </c>
      <c r="R117" s="99">
        <v>4.8999999999999998E-3</v>
      </c>
      <c r="T117" t="s">
        <v>25</v>
      </c>
      <c r="U117" s="96" t="s">
        <v>25</v>
      </c>
      <c r="V117"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v>
      </c>
      <c r="R118" s="99">
        <f>R116+R117</f>
        <v>1.52E-2</v>
      </c>
      <c r="T118" t="s">
        <v>25</v>
      </c>
      <c r="U118" s="96" t="s">
        <v>25</v>
      </c>
      <c r="V118" t="s">
        <v>25</v>
      </c>
      <c r="W118" s="194"/>
      <c r="X118" s="194"/>
      <c r="AH118" s="99">
        <v>98</v>
      </c>
      <c r="AI118" s="113" t="s">
        <v>4591</v>
      </c>
      <c r="AJ118" s="113">
        <v>13900000</v>
      </c>
      <c r="AK118" s="99">
        <v>2</v>
      </c>
      <c r="AL118" s="99">
        <f t="shared" si="27"/>
        <v>315</v>
      </c>
      <c r="AM118" s="117">
        <f t="shared" si="11"/>
        <v>4378500000</v>
      </c>
      <c r="AN118" s="99"/>
    </row>
    <row r="119" spans="6:46">
      <c r="F119" s="96"/>
      <c r="G119" s="1">
        <f>P47</f>
        <v>334.9</v>
      </c>
      <c r="H119" s="213" t="s">
        <v>4234</v>
      </c>
      <c r="I119" s="213">
        <v>129827</v>
      </c>
      <c r="J119" s="1">
        <f>I119*G119</f>
        <v>43479062.299999997</v>
      </c>
      <c r="K119" s="19" t="s">
        <v>4380</v>
      </c>
      <c r="L119" s="169">
        <v>1100000</v>
      </c>
      <c r="M119" s="169">
        <v>4300000</v>
      </c>
      <c r="N119" s="168">
        <f t="shared" si="32"/>
        <v>290.90909090909093</v>
      </c>
      <c r="P119" s="114"/>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ht="30">
      <c r="F120" s="96"/>
      <c r="G120" s="1">
        <f>P45</f>
        <v>860.7</v>
      </c>
      <c r="H120" s="213" t="s">
        <v>4398</v>
      </c>
      <c r="I120" s="213">
        <v>1205</v>
      </c>
      <c r="J120" s="1">
        <f t="shared" ref="J120:J121" si="33">I120*G120</f>
        <v>1037143.5</v>
      </c>
      <c r="K120" s="5" t="s">
        <v>4398</v>
      </c>
      <c r="L120" s="169">
        <v>1100000</v>
      </c>
      <c r="M120" s="169">
        <v>3191000</v>
      </c>
      <c r="N120" s="168">
        <f t="shared" si="32"/>
        <v>190.09090909090909</v>
      </c>
      <c r="Q120" s="73" t="s">
        <v>4286</v>
      </c>
      <c r="R120" s="112"/>
      <c r="S120" s="112"/>
      <c r="T120" s="112"/>
      <c r="U120" s="168" t="s">
        <v>4353</v>
      </c>
      <c r="V120" s="36" t="s">
        <v>4355</v>
      </c>
      <c r="W120" s="32"/>
      <c r="X120" s="32"/>
      <c r="AH120" s="99">
        <v>100</v>
      </c>
      <c r="AI120" s="113" t="s">
        <v>3688</v>
      </c>
      <c r="AJ120" s="113">
        <v>15792549</v>
      </c>
      <c r="AK120" s="99">
        <v>3</v>
      </c>
      <c r="AL120" s="99">
        <f t="shared" si="27"/>
        <v>312</v>
      </c>
      <c r="AM120" s="117">
        <f t="shared" si="11"/>
        <v>4927275288</v>
      </c>
      <c r="AN120" s="99"/>
      <c r="AO120" t="s">
        <v>25</v>
      </c>
      <c r="AP120" t="s">
        <v>25</v>
      </c>
    </row>
    <row r="121" spans="6:46">
      <c r="F121" s="96"/>
      <c r="G121" s="1">
        <f>P46</f>
        <v>6807.9</v>
      </c>
      <c r="H121" s="213" t="s">
        <v>4384</v>
      </c>
      <c r="I121" s="213">
        <v>1399</v>
      </c>
      <c r="J121" s="1">
        <f t="shared" si="33"/>
        <v>9524252.0999999996</v>
      </c>
      <c r="K121" s="5" t="s">
        <v>4522</v>
      </c>
      <c r="L121" s="169">
        <v>1100000</v>
      </c>
      <c r="M121" s="169">
        <v>5623000</v>
      </c>
      <c r="N121" s="168">
        <f t="shared" si="32"/>
        <v>411.18181818181819</v>
      </c>
      <c r="Q121" s="112" t="s">
        <v>267</v>
      </c>
      <c r="R121" s="112" t="s">
        <v>180</v>
      </c>
      <c r="S121" s="112" t="s">
        <v>183</v>
      </c>
      <c r="T121" s="112" t="s">
        <v>8</v>
      </c>
      <c r="U121" s="168"/>
      <c r="V121" s="99"/>
      <c r="W121" s="32">
        <v>2</v>
      </c>
      <c r="X121" s="32">
        <v>4</v>
      </c>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35">
        <v>184971545</v>
      </c>
      <c r="R122" s="5" t="s">
        <v>4167</v>
      </c>
      <c r="S122" s="5">
        <v>430</v>
      </c>
      <c r="T122" s="5" t="s">
        <v>4336</v>
      </c>
      <c r="U122" s="168">
        <v>192</v>
      </c>
      <c r="V122" s="99">
        <f t="shared" ref="V122:V153" si="36">U122*(1+$R$118+$Q$15*S122/36500)</f>
        <v>258.25209863013703</v>
      </c>
      <c r="W122" s="32">
        <f t="shared" ref="W122:W138" si="37">V122*(1+$W$19/100)</f>
        <v>263.41714060273978</v>
      </c>
      <c r="X122" s="32">
        <f t="shared" ref="X122:X138" si="38">V122*(1+$X$19/100)</f>
        <v>268.58218257534253</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34118042.899999999</v>
      </c>
      <c r="J123" s="1">
        <f>SUM(J119:J122)</f>
        <v>54040457.899999999</v>
      </c>
      <c r="K123" s="5" t="s">
        <v>4524</v>
      </c>
      <c r="L123" s="169">
        <v>1100000</v>
      </c>
      <c r="M123" s="169">
        <v>2904000</v>
      </c>
      <c r="N123" s="168">
        <f t="shared" si="32"/>
        <v>164</v>
      </c>
      <c r="Q123" s="35">
        <v>9560464</v>
      </c>
      <c r="R123" s="5" t="s">
        <v>4290</v>
      </c>
      <c r="S123" s="5">
        <f>S122-31</f>
        <v>399</v>
      </c>
      <c r="T123" s="5" t="s">
        <v>4303</v>
      </c>
      <c r="U123" s="168">
        <v>214.57</v>
      </c>
      <c r="V123" s="99">
        <f t="shared" si="36"/>
        <v>283.50751989041095</v>
      </c>
      <c r="W123" s="32">
        <f t="shared" si="37"/>
        <v>289.17767028821919</v>
      </c>
      <c r="X123" s="32">
        <f t="shared" si="38"/>
        <v>294.84782068602738</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2000000</v>
      </c>
      <c r="R124" s="5" t="s">
        <v>4333</v>
      </c>
      <c r="S124" s="5">
        <f>S123-11</f>
        <v>388</v>
      </c>
      <c r="T124" s="5" t="s">
        <v>4335</v>
      </c>
      <c r="U124" s="168">
        <v>206.8</v>
      </c>
      <c r="V124" s="99">
        <f t="shared" si="36"/>
        <v>271.49610520547947</v>
      </c>
      <c r="W124" s="32">
        <f t="shared" si="37"/>
        <v>276.92602730958907</v>
      </c>
      <c r="X124" s="32">
        <f t="shared" si="38"/>
        <v>282.35594941369868</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1429825</v>
      </c>
      <c r="R125" s="5" t="s">
        <v>4362</v>
      </c>
      <c r="S125" s="5">
        <f>S124-7</f>
        <v>381</v>
      </c>
      <c r="T125" s="5" t="s">
        <v>4371</v>
      </c>
      <c r="U125" s="168">
        <v>203.9</v>
      </c>
      <c r="V125" s="99">
        <f t="shared" si="36"/>
        <v>266.59394301369866</v>
      </c>
      <c r="W125" s="32">
        <f t="shared" si="37"/>
        <v>271.92582187397267</v>
      </c>
      <c r="X125" s="32">
        <f t="shared" si="38"/>
        <v>277.25770073424661</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5224</v>
      </c>
      <c r="J126" s="1">
        <v>16319143</v>
      </c>
      <c r="K126" s="242" t="s">
        <v>4554</v>
      </c>
      <c r="Q126" s="35">
        <v>1420747</v>
      </c>
      <c r="R126" s="5" t="s">
        <v>4362</v>
      </c>
      <c r="S126" s="5">
        <f>S125</f>
        <v>381</v>
      </c>
      <c r="T126" s="5" t="s">
        <v>4373</v>
      </c>
      <c r="U126" s="168">
        <v>203.1</v>
      </c>
      <c r="V126" s="99">
        <f t="shared" si="36"/>
        <v>265.54796383561643</v>
      </c>
      <c r="W126" s="32">
        <f t="shared" si="37"/>
        <v>270.85892311232874</v>
      </c>
      <c r="X126" s="32">
        <f t="shared" si="38"/>
        <v>276.16988238904111</v>
      </c>
      <c r="Y126" t="s">
        <v>25</v>
      </c>
      <c r="AH126" s="99">
        <v>106</v>
      </c>
      <c r="AI126" s="113" t="s">
        <v>4539</v>
      </c>
      <c r="AJ126" s="113">
        <v>101000</v>
      </c>
      <c r="AK126" s="99">
        <v>0</v>
      </c>
      <c r="AL126" s="99">
        <f>AL127+AK126</f>
        <v>306</v>
      </c>
      <c r="AM126" s="117">
        <f t="shared" si="35"/>
        <v>30906000</v>
      </c>
      <c r="AN126" s="99"/>
      <c r="AQ126" t="s">
        <v>25</v>
      </c>
    </row>
    <row r="127" spans="6:46">
      <c r="G127" s="1">
        <f>P47</f>
        <v>334.9</v>
      </c>
      <c r="H127" s="213" t="s">
        <v>4234</v>
      </c>
      <c r="I127" s="213">
        <v>50896</v>
      </c>
      <c r="J127" s="1">
        <f>G127*I127</f>
        <v>17045070.399999999</v>
      </c>
      <c r="K127" s="242" t="s">
        <v>4555</v>
      </c>
      <c r="Q127" s="35">
        <v>2010885</v>
      </c>
      <c r="R127" s="5" t="s">
        <v>4382</v>
      </c>
      <c r="S127" s="5">
        <f>S126-3</f>
        <v>378</v>
      </c>
      <c r="T127" s="5" t="s">
        <v>4387</v>
      </c>
      <c r="U127" s="168">
        <v>202.1</v>
      </c>
      <c r="V127" s="99">
        <f t="shared" si="36"/>
        <v>263.77538301369862</v>
      </c>
      <c r="W127" s="32">
        <f t="shared" si="37"/>
        <v>269.05089067397262</v>
      </c>
      <c r="X127" s="32">
        <f t="shared" si="38"/>
        <v>274.32639833424656</v>
      </c>
      <c r="AH127" s="149">
        <v>107</v>
      </c>
      <c r="AI127" s="188" t="s">
        <v>4615</v>
      </c>
      <c r="AJ127" s="188">
        <v>-48200</v>
      </c>
      <c r="AK127" s="149">
        <v>0</v>
      </c>
      <c r="AL127" s="149">
        <f t="shared" ref="AL127:AL177" si="39">AL128+AK127</f>
        <v>306</v>
      </c>
      <c r="AM127" s="188">
        <f t="shared" si="35"/>
        <v>-14749200</v>
      </c>
      <c r="AN127" s="149" t="s">
        <v>4624</v>
      </c>
    </row>
    <row r="128" spans="6:46">
      <c r="G128" s="1">
        <f>P45</f>
        <v>860.7</v>
      </c>
      <c r="H128" s="213" t="s">
        <v>4398</v>
      </c>
      <c r="I128" s="213">
        <v>2304</v>
      </c>
      <c r="J128" s="1">
        <f t="shared" ref="J128:J129" si="40">G128*I128</f>
        <v>1983052.8</v>
      </c>
      <c r="Q128" s="35">
        <v>444</v>
      </c>
      <c r="R128" s="5" t="s">
        <v>4392</v>
      </c>
      <c r="S128" s="5">
        <f>S127-3</f>
        <v>375</v>
      </c>
      <c r="T128" s="5" t="s">
        <v>4593</v>
      </c>
      <c r="U128" s="168">
        <v>441.8</v>
      </c>
      <c r="V128" s="99">
        <f t="shared" si="36"/>
        <v>575.60851068493162</v>
      </c>
      <c r="W128" s="32">
        <f t="shared" si="37"/>
        <v>587.12068089863021</v>
      </c>
      <c r="X128" s="32">
        <f t="shared" si="38"/>
        <v>598.63285111232892</v>
      </c>
      <c r="AH128" s="89">
        <v>108</v>
      </c>
      <c r="AI128" s="90" t="s">
        <v>4615</v>
      </c>
      <c r="AJ128" s="90">
        <v>39327293</v>
      </c>
      <c r="AK128" s="89">
        <v>4</v>
      </c>
      <c r="AL128" s="149">
        <f t="shared" si="39"/>
        <v>306</v>
      </c>
      <c r="AM128" s="188">
        <f t="shared" si="35"/>
        <v>12034151658</v>
      </c>
      <c r="AN128" s="89" t="s">
        <v>4625</v>
      </c>
    </row>
    <row r="129" spans="6:43">
      <c r="G129" s="1">
        <f>P44</f>
        <v>6114.6</v>
      </c>
      <c r="H129" s="213" t="s">
        <v>4380</v>
      </c>
      <c r="I129" s="213">
        <v>715</v>
      </c>
      <c r="J129" s="1">
        <f t="shared" si="40"/>
        <v>4371939</v>
      </c>
      <c r="Q129" s="35">
        <v>1971103</v>
      </c>
      <c r="R129" s="5" t="s">
        <v>4403</v>
      </c>
      <c r="S129" s="5">
        <f>S128-1</f>
        <v>374</v>
      </c>
      <c r="T129" s="5" t="s">
        <v>4404</v>
      </c>
      <c r="U129" s="168">
        <v>196.2</v>
      </c>
      <c r="V129" s="99">
        <f t="shared" si="36"/>
        <v>255.47282630136991</v>
      </c>
      <c r="W129" s="32">
        <f t="shared" si="37"/>
        <v>260.58228282739731</v>
      </c>
      <c r="X129" s="32">
        <f t="shared" si="38"/>
        <v>265.69173935342474</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1049856</v>
      </c>
      <c r="R130" s="5" t="s">
        <v>4423</v>
      </c>
      <c r="S130" s="5">
        <f>S129-6</f>
        <v>368</v>
      </c>
      <c r="T130" s="5" t="s">
        <v>4461</v>
      </c>
      <c r="U130" s="168">
        <v>184.5</v>
      </c>
      <c r="V130" s="99">
        <f t="shared" si="36"/>
        <v>239.38900273972604</v>
      </c>
      <c r="W130" s="32">
        <f t="shared" si="37"/>
        <v>244.17678279452056</v>
      </c>
      <c r="X130" s="32">
        <f t="shared" si="38"/>
        <v>248.96456284931509</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7080919.1999999993</v>
      </c>
      <c r="J131" s="1">
        <f>SUM(J127:J130)</f>
        <v>23400062.199999999</v>
      </c>
      <c r="Q131" s="35">
        <v>1783234</v>
      </c>
      <c r="R131" s="5" t="s">
        <v>4425</v>
      </c>
      <c r="S131" s="5">
        <f>S130-2</f>
        <v>366</v>
      </c>
      <c r="T131" s="5" t="s">
        <v>4426</v>
      </c>
      <c r="U131" s="168">
        <v>177.5</v>
      </c>
      <c r="V131" s="99">
        <f t="shared" si="36"/>
        <v>230.03416438356166</v>
      </c>
      <c r="W131" s="32">
        <f t="shared" si="37"/>
        <v>234.6348476712329</v>
      </c>
      <c r="X131" s="32">
        <f t="shared" si="38"/>
        <v>239.23553095890412</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1662335</v>
      </c>
      <c r="R132" s="5" t="s">
        <v>4429</v>
      </c>
      <c r="S132" s="5">
        <f>S131-5</f>
        <v>361</v>
      </c>
      <c r="T132" s="218" t="s">
        <v>4576</v>
      </c>
      <c r="U132" s="168">
        <v>190.3</v>
      </c>
      <c r="V132" s="99">
        <f t="shared" si="36"/>
        <v>245.89262575342468</v>
      </c>
      <c r="W132" s="32">
        <f t="shared" si="37"/>
        <v>250.81047826849317</v>
      </c>
      <c r="X132" s="32">
        <f t="shared" si="38"/>
        <v>255.72833078356169</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2272487</v>
      </c>
      <c r="R133" s="5" t="s">
        <v>4586</v>
      </c>
      <c r="S133" s="5">
        <f>S132-42</f>
        <v>319</v>
      </c>
      <c r="T133" s="5" t="s">
        <v>4587</v>
      </c>
      <c r="U133" s="168">
        <v>174.9</v>
      </c>
      <c r="V133" s="99">
        <f t="shared" si="36"/>
        <v>220.35866630136991</v>
      </c>
      <c r="W133" s="32">
        <f t="shared" si="37"/>
        <v>224.7658396273973</v>
      </c>
      <c r="X133" s="32">
        <f t="shared" si="38"/>
        <v>229.17301295342472</v>
      </c>
      <c r="AH133" s="20">
        <v>113</v>
      </c>
      <c r="AI133" s="117" t="s">
        <v>4653</v>
      </c>
      <c r="AJ133" s="117">
        <v>-980000</v>
      </c>
      <c r="AK133" s="20">
        <v>0</v>
      </c>
      <c r="AL133" s="99">
        <f t="shared" si="39"/>
        <v>299</v>
      </c>
      <c r="AM133" s="117">
        <f t="shared" si="35"/>
        <v>-293020000</v>
      </c>
      <c r="AN133" s="20"/>
    </row>
    <row r="134" spans="6:43">
      <c r="G134" s="213"/>
      <c r="H134" s="213" t="s">
        <v>5362</v>
      </c>
      <c r="I134" s="213" t="s">
        <v>5225</v>
      </c>
      <c r="J134" s="1">
        <v>19795000</v>
      </c>
      <c r="K134" t="s">
        <v>25</v>
      </c>
      <c r="M134">
        <v>126</v>
      </c>
      <c r="N134">
        <v>1</v>
      </c>
      <c r="O134">
        <f>M134*N134</f>
        <v>126</v>
      </c>
      <c r="Q134" s="35">
        <v>3975257</v>
      </c>
      <c r="R134" s="5" t="s">
        <v>4591</v>
      </c>
      <c r="S134" s="5">
        <f>S133-1</f>
        <v>318</v>
      </c>
      <c r="T134" s="5" t="s">
        <v>4592</v>
      </c>
      <c r="U134" s="168">
        <v>173</v>
      </c>
      <c r="V134" s="99">
        <f t="shared" si="36"/>
        <v>217.83212054794521</v>
      </c>
      <c r="W134" s="32">
        <f t="shared" si="37"/>
        <v>222.18876295890411</v>
      </c>
      <c r="X134" s="32">
        <f t="shared" si="38"/>
        <v>226.54540536986303</v>
      </c>
      <c r="Y134" t="s">
        <v>25</v>
      </c>
      <c r="AH134" s="89">
        <v>114</v>
      </c>
      <c r="AI134" s="90" t="s">
        <v>4653</v>
      </c>
      <c r="AJ134" s="90">
        <v>13301790</v>
      </c>
      <c r="AK134" s="89">
        <v>0</v>
      </c>
      <c r="AL134" s="89">
        <f t="shared" si="39"/>
        <v>299</v>
      </c>
      <c r="AM134" s="90">
        <f t="shared" si="35"/>
        <v>3977235210</v>
      </c>
      <c r="AN134" s="89" t="s">
        <v>4654</v>
      </c>
      <c r="AQ134" t="s">
        <v>25</v>
      </c>
    </row>
    <row r="135" spans="6:43">
      <c r="G135" s="1">
        <f>P47</f>
        <v>334.9</v>
      </c>
      <c r="H135" s="213" t="s">
        <v>4234</v>
      </c>
      <c r="I135" s="213">
        <v>46582</v>
      </c>
      <c r="J135" s="1">
        <f>G135*I135</f>
        <v>15600311.799999999</v>
      </c>
      <c r="L135">
        <v>821</v>
      </c>
      <c r="M135">
        <v>590</v>
      </c>
      <c r="N135">
        <v>0</v>
      </c>
      <c r="O135" s="96">
        <f>M135*N135</f>
        <v>0</v>
      </c>
      <c r="Q135" s="35">
        <v>1031662</v>
      </c>
      <c r="R135" s="5" t="s">
        <v>4225</v>
      </c>
      <c r="S135" s="5">
        <f>S134-1</f>
        <v>317</v>
      </c>
      <c r="T135" s="5" t="s">
        <v>4595</v>
      </c>
      <c r="U135" s="168">
        <v>171.2</v>
      </c>
      <c r="V135" s="99">
        <f t="shared" si="36"/>
        <v>215.43432767123289</v>
      </c>
      <c r="W135" s="32">
        <f t="shared" si="37"/>
        <v>219.74301422465754</v>
      </c>
      <c r="X135" s="32">
        <f t="shared" si="38"/>
        <v>224.05170077808222</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577500</v>
      </c>
      <c r="R136" s="5" t="s">
        <v>4225</v>
      </c>
      <c r="S136" s="5">
        <f>S135</f>
        <v>317</v>
      </c>
      <c r="T136" s="5" t="s">
        <v>4599</v>
      </c>
      <c r="U136" s="168">
        <v>175</v>
      </c>
      <c r="V136" s="99">
        <f t="shared" si="36"/>
        <v>220.21616438356168</v>
      </c>
      <c r="W136" s="32">
        <f t="shared" si="37"/>
        <v>224.62048767123292</v>
      </c>
      <c r="X136" s="32">
        <f t="shared" si="38"/>
        <v>229.02481095890414</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5805311.799999997</v>
      </c>
      <c r="J137" s="1">
        <f>SUM(J135:J136)</f>
        <v>25600311.799999997</v>
      </c>
      <c r="O137">
        <f>O133+O134+O135</f>
        <v>834</v>
      </c>
      <c r="Q137" s="35">
        <v>12636487</v>
      </c>
      <c r="R137" s="5" t="s">
        <v>3688</v>
      </c>
      <c r="S137" s="5">
        <f>S136-2</f>
        <v>315</v>
      </c>
      <c r="T137" s="5" t="s">
        <v>4602</v>
      </c>
      <c r="U137" s="168">
        <v>172.1</v>
      </c>
      <c r="V137" s="99">
        <f t="shared" si="36"/>
        <v>216.30282410958904</v>
      </c>
      <c r="W137" s="32">
        <f t="shared" si="37"/>
        <v>220.62888059178081</v>
      </c>
      <c r="X137" s="32">
        <f t="shared" si="38"/>
        <v>224.95493707397262</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9">
        <v>11121445</v>
      </c>
      <c r="R138" s="5" t="s">
        <v>4605</v>
      </c>
      <c r="S138" s="5">
        <f>S137-3</f>
        <v>312</v>
      </c>
      <c r="T138" s="5" t="s">
        <v>4783</v>
      </c>
      <c r="U138" s="168">
        <v>171.8</v>
      </c>
      <c r="V138" s="99">
        <f t="shared" si="36"/>
        <v>215.5303956164384</v>
      </c>
      <c r="W138" s="32">
        <f t="shared" si="37"/>
        <v>219.84100352876717</v>
      </c>
      <c r="X138" s="32">
        <f t="shared" si="38"/>
        <v>224.15161144109595</v>
      </c>
      <c r="Y138" t="s">
        <v>25</v>
      </c>
      <c r="AH138" s="121">
        <v>118</v>
      </c>
      <c r="AI138" s="79" t="s">
        <v>4687</v>
      </c>
      <c r="AJ138" s="79">
        <v>8739459</v>
      </c>
      <c r="AK138" s="121">
        <v>2</v>
      </c>
      <c r="AL138" s="121">
        <f t="shared" si="39"/>
        <v>287</v>
      </c>
      <c r="AM138" s="79">
        <f t="shared" si="35"/>
        <v>2508224733</v>
      </c>
      <c r="AN138" s="121" t="s">
        <v>4640</v>
      </c>
    </row>
    <row r="139" spans="6:43">
      <c r="Q139" s="35">
        <v>40048573</v>
      </c>
      <c r="R139" s="5" t="s">
        <v>4615</v>
      </c>
      <c r="S139" s="5">
        <f>S138-3</f>
        <v>309</v>
      </c>
      <c r="T139" s="5" t="s">
        <v>4619</v>
      </c>
      <c r="U139" s="168">
        <v>498.9</v>
      </c>
      <c r="V139" s="99">
        <f t="shared" si="36"/>
        <v>624.74308273972611</v>
      </c>
      <c r="W139" s="32">
        <f t="shared" ref="W139:W161" si="41">V139*(1+$W$19/100)</f>
        <v>637.23794439452058</v>
      </c>
      <c r="X139" s="32">
        <f t="shared" ref="X139:X161" si="42">V139*(1+$X$19/100)</f>
        <v>649.73280604931517</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5325</v>
      </c>
      <c r="J140" s="1">
        <v>20000000</v>
      </c>
      <c r="Q140" s="35">
        <v>559461</v>
      </c>
      <c r="R140" s="5" t="s">
        <v>4653</v>
      </c>
      <c r="S140" s="5">
        <f>S139-7</f>
        <v>302</v>
      </c>
      <c r="T140" s="5" t="s">
        <v>4660</v>
      </c>
      <c r="U140" s="210">
        <v>508.1</v>
      </c>
      <c r="V140" s="99">
        <f t="shared" si="36"/>
        <v>633.53527342465759</v>
      </c>
      <c r="W140" s="32">
        <f t="shared" si="41"/>
        <v>646.2059788931507</v>
      </c>
      <c r="X140" s="32">
        <f t="shared" si="42"/>
        <v>658.87668436164392</v>
      </c>
      <c r="Z140" t="s">
        <v>25</v>
      </c>
      <c r="AH140" s="121">
        <v>120</v>
      </c>
      <c r="AI140" s="79" t="s">
        <v>4689</v>
      </c>
      <c r="AJ140" s="79">
        <v>13335309</v>
      </c>
      <c r="AK140" s="121">
        <v>13</v>
      </c>
      <c r="AL140" s="121">
        <f t="shared" si="39"/>
        <v>284</v>
      </c>
      <c r="AM140" s="79">
        <f t="shared" si="35"/>
        <v>3787227756</v>
      </c>
      <c r="AN140" s="121" t="s">
        <v>4654</v>
      </c>
    </row>
    <row r="141" spans="6:43">
      <c r="G141" s="99">
        <f>P47</f>
        <v>334.9</v>
      </c>
      <c r="H141" s="99" t="s">
        <v>4234</v>
      </c>
      <c r="I141" s="99">
        <v>39042</v>
      </c>
      <c r="J141" s="1">
        <f>G141*I141</f>
        <v>13075165.799999999</v>
      </c>
      <c r="Q141" s="35">
        <v>622942</v>
      </c>
      <c r="R141" s="5" t="s">
        <v>4666</v>
      </c>
      <c r="S141" s="5">
        <f>S140-1</f>
        <v>301</v>
      </c>
      <c r="T141" s="5" t="s">
        <v>4667</v>
      </c>
      <c r="U141" s="210">
        <v>503.3</v>
      </c>
      <c r="V141" s="99">
        <f t="shared" si="36"/>
        <v>627.16419835616443</v>
      </c>
      <c r="W141" s="32">
        <f t="shared" si="41"/>
        <v>639.70748232328776</v>
      </c>
      <c r="X141" s="32">
        <f t="shared" si="42"/>
        <v>652.25076629041098</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6807.9</v>
      </c>
      <c r="H142" s="99" t="s">
        <v>4384</v>
      </c>
      <c r="I142" s="99">
        <v>1150</v>
      </c>
      <c r="J142" s="1">
        <f>G142*I142</f>
        <v>7829085</v>
      </c>
      <c r="P142" s="114" t="s">
        <v>25</v>
      </c>
      <c r="Q142" s="35">
        <v>1472140</v>
      </c>
      <c r="R142" s="5" t="s">
        <v>4672</v>
      </c>
      <c r="S142" s="5">
        <f>S141-3</f>
        <v>298</v>
      </c>
      <c r="T142" s="5" t="s">
        <v>4674</v>
      </c>
      <c r="U142" s="168">
        <v>502</v>
      </c>
      <c r="V142" s="99">
        <f t="shared" si="36"/>
        <v>624.38897534246587</v>
      </c>
      <c r="W142" s="32">
        <f t="shared" si="41"/>
        <v>636.87675484931515</v>
      </c>
      <c r="X142" s="32">
        <f t="shared" si="42"/>
        <v>649.36453435616454</v>
      </c>
      <c r="Y142" t="s">
        <v>25</v>
      </c>
      <c r="AH142" s="20">
        <v>122</v>
      </c>
      <c r="AI142" s="117" t="s">
        <v>972</v>
      </c>
      <c r="AJ142" s="117">
        <v>30000</v>
      </c>
      <c r="AK142" s="20">
        <v>3</v>
      </c>
      <c r="AL142" s="20">
        <f t="shared" si="39"/>
        <v>260</v>
      </c>
      <c r="AM142" s="117">
        <f t="shared" si="35"/>
        <v>7800000</v>
      </c>
      <c r="AN142" s="20"/>
    </row>
    <row r="143" spans="6:43">
      <c r="G143" s="99"/>
      <c r="H143" s="99"/>
      <c r="I143" s="278">
        <f>J141+J142-J140</f>
        <v>904250.79999999702</v>
      </c>
      <c r="J143" s="1"/>
      <c r="Q143" s="35">
        <v>2624850</v>
      </c>
      <c r="R143" s="5" t="s">
        <v>4676</v>
      </c>
      <c r="S143" s="5">
        <f>S142-1</f>
        <v>297</v>
      </c>
      <c r="T143" s="5" t="s">
        <v>5246</v>
      </c>
      <c r="U143" s="168">
        <v>481.7</v>
      </c>
      <c r="V143" s="99">
        <f t="shared" si="36"/>
        <v>598.77025643835623</v>
      </c>
      <c r="W143" s="32">
        <f t="shared" si="41"/>
        <v>610.74566156712331</v>
      </c>
      <c r="X143" s="32">
        <f t="shared" si="42"/>
        <v>622.7210666958905</v>
      </c>
      <c r="Y143" t="s">
        <v>25</v>
      </c>
      <c r="AH143" s="20">
        <v>123</v>
      </c>
      <c r="AI143" s="117" t="s">
        <v>4807</v>
      </c>
      <c r="AJ143" s="117">
        <v>600000</v>
      </c>
      <c r="AK143" s="20">
        <v>1</v>
      </c>
      <c r="AL143" s="20">
        <f t="shared" si="39"/>
        <v>257</v>
      </c>
      <c r="AM143" s="117">
        <f t="shared" si="35"/>
        <v>154200000</v>
      </c>
      <c r="AN143" s="20"/>
    </row>
    <row r="144" spans="6:43">
      <c r="F144" t="s">
        <v>4810</v>
      </c>
      <c r="Q144" s="169">
        <v>6150141</v>
      </c>
      <c r="R144" s="213" t="s">
        <v>4862</v>
      </c>
      <c r="S144" s="213">
        <f>S143-64</f>
        <v>233</v>
      </c>
      <c r="T144" s="213" t="s">
        <v>4868</v>
      </c>
      <c r="U144" s="213">
        <v>180.6</v>
      </c>
      <c r="V144" s="99">
        <f t="shared" si="36"/>
        <v>215.62551452054797</v>
      </c>
      <c r="W144" s="32">
        <f t="shared" si="41"/>
        <v>219.93802481095892</v>
      </c>
      <c r="X144" s="32">
        <f t="shared" si="42"/>
        <v>224.25053510136991</v>
      </c>
      <c r="Y144" t="s">
        <v>25</v>
      </c>
      <c r="AH144" s="20">
        <v>124</v>
      </c>
      <c r="AI144" s="117" t="s">
        <v>4814</v>
      </c>
      <c r="AJ144" s="117">
        <v>30000</v>
      </c>
      <c r="AK144" s="20">
        <v>3</v>
      </c>
      <c r="AL144" s="20">
        <f t="shared" si="39"/>
        <v>256</v>
      </c>
      <c r="AM144" s="117">
        <f t="shared" si="35"/>
        <v>7680000</v>
      </c>
      <c r="AN144" s="20"/>
    </row>
    <row r="145" spans="7:44">
      <c r="Q145" s="169">
        <v>1399908</v>
      </c>
      <c r="R145" s="213" t="s">
        <v>4931</v>
      </c>
      <c r="S145" s="213">
        <f>S144-20</f>
        <v>213</v>
      </c>
      <c r="T145" s="213" t="s">
        <v>4932</v>
      </c>
      <c r="U145" s="213">
        <v>194</v>
      </c>
      <c r="V145" s="99">
        <f t="shared" si="36"/>
        <v>228.6478684931507</v>
      </c>
      <c r="W145" s="32">
        <f t="shared" si="41"/>
        <v>233.22082586301372</v>
      </c>
      <c r="X145" s="32">
        <f t="shared" si="42"/>
        <v>237.79378323287673</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1204033</v>
      </c>
      <c r="R146" s="213" t="s">
        <v>4941</v>
      </c>
      <c r="S146" s="213">
        <f>S145-7</f>
        <v>206</v>
      </c>
      <c r="T146" s="213" t="s">
        <v>4944</v>
      </c>
      <c r="U146" s="213">
        <v>218.5</v>
      </c>
      <c r="V146" s="99">
        <f t="shared" si="36"/>
        <v>256.35018630136989</v>
      </c>
      <c r="W146" s="32">
        <f t="shared" si="41"/>
        <v>261.47719002739728</v>
      </c>
      <c r="X146" s="32">
        <f t="shared" si="42"/>
        <v>266.60419375342468</v>
      </c>
      <c r="AH146" s="23">
        <v>126</v>
      </c>
      <c r="AI146" s="35" t="s">
        <v>4825</v>
      </c>
      <c r="AJ146" s="35">
        <v>-31412200</v>
      </c>
      <c r="AK146" s="23">
        <v>1</v>
      </c>
      <c r="AL146" s="20">
        <f t="shared" si="39"/>
        <v>252</v>
      </c>
      <c r="AM146" s="35">
        <f t="shared" si="43"/>
        <v>-7915874400</v>
      </c>
      <c r="AN146" s="23" t="s">
        <v>4809</v>
      </c>
    </row>
    <row r="147" spans="7:44">
      <c r="G147">
        <v>1200</v>
      </c>
      <c r="H147" t="s">
        <v>4811</v>
      </c>
      <c r="Q147" s="169">
        <v>8382674</v>
      </c>
      <c r="R147" s="213" t="s">
        <v>4951</v>
      </c>
      <c r="S147" s="213">
        <f>S146-7</f>
        <v>199</v>
      </c>
      <c r="T147" s="213" t="s">
        <v>4957</v>
      </c>
      <c r="U147" s="213">
        <v>192</v>
      </c>
      <c r="V147" s="99">
        <f t="shared" si="36"/>
        <v>224.22864657534251</v>
      </c>
      <c r="W147" s="32">
        <f t="shared" si="41"/>
        <v>228.71321950684936</v>
      </c>
      <c r="X147" s="32">
        <f t="shared" si="42"/>
        <v>233.19779243835623</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190884649</v>
      </c>
      <c r="R148" s="213" t="s">
        <v>4970</v>
      </c>
      <c r="S148" s="213">
        <f>S147-9</f>
        <v>190</v>
      </c>
      <c r="T148" s="213" t="s">
        <v>4973</v>
      </c>
      <c r="U148" s="213">
        <v>193.6</v>
      </c>
      <c r="V148" s="99">
        <f t="shared" si="36"/>
        <v>224.76058301369864</v>
      </c>
      <c r="W148" s="32">
        <f t="shared" si="41"/>
        <v>229.25579467397262</v>
      </c>
      <c r="X148" s="32">
        <f t="shared" si="42"/>
        <v>233.7510063342466</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2099962</v>
      </c>
      <c r="R149" s="213" t="s">
        <v>4972</v>
      </c>
      <c r="S149" s="213">
        <f>S148-1</f>
        <v>189</v>
      </c>
      <c r="T149" s="213" t="s">
        <v>4976</v>
      </c>
      <c r="U149" s="213">
        <v>196.5</v>
      </c>
      <c r="V149" s="99">
        <f t="shared" si="36"/>
        <v>227.97660821917813</v>
      </c>
      <c r="W149" s="32">
        <f t="shared" si="41"/>
        <v>232.5361403835617</v>
      </c>
      <c r="X149" s="32">
        <f t="shared" si="42"/>
        <v>237.09567254794527</v>
      </c>
      <c r="Z149" s="96"/>
      <c r="AH149" s="99">
        <v>129</v>
      </c>
      <c r="AI149" s="113" t="s">
        <v>4861</v>
      </c>
      <c r="AJ149" s="113">
        <v>1000000</v>
      </c>
      <c r="AK149" s="99">
        <v>1</v>
      </c>
      <c r="AL149" s="20">
        <f t="shared" si="39"/>
        <v>232</v>
      </c>
      <c r="AM149" s="117">
        <f t="shared" si="44"/>
        <v>232000000</v>
      </c>
      <c r="AN149" s="20"/>
    </row>
    <row r="150" spans="7:44">
      <c r="Q150" s="169">
        <v>130756</v>
      </c>
      <c r="R150" s="213" t="s">
        <v>4977</v>
      </c>
      <c r="S150" s="213">
        <f>S149-1</f>
        <v>188</v>
      </c>
      <c r="T150" s="213" t="s">
        <v>4978</v>
      </c>
      <c r="U150" s="213">
        <v>197.8</v>
      </c>
      <c r="V150" s="99">
        <f t="shared" si="36"/>
        <v>229.33311342465757</v>
      </c>
      <c r="W150" s="32">
        <f t="shared" si="41"/>
        <v>233.91977569315071</v>
      </c>
      <c r="X150" s="32">
        <f t="shared" si="42"/>
        <v>238.50643796164388</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795874</v>
      </c>
      <c r="R151" s="213" t="s">
        <v>4989</v>
      </c>
      <c r="S151" s="213">
        <f>S150-6</f>
        <v>182</v>
      </c>
      <c r="T151" s="213" t="s">
        <v>4990</v>
      </c>
      <c r="U151" s="213">
        <v>198.1</v>
      </c>
      <c r="V151" s="99">
        <f t="shared" si="36"/>
        <v>228.76913643835618</v>
      </c>
      <c r="W151" s="32">
        <f t="shared" si="41"/>
        <v>233.34451916712331</v>
      </c>
      <c r="X151" s="32">
        <f t="shared" si="42"/>
        <v>237.91990189589043</v>
      </c>
      <c r="Z151" s="96"/>
      <c r="AA151" s="114"/>
      <c r="AC151" s="114"/>
      <c r="AH151" s="99">
        <v>131</v>
      </c>
      <c r="AI151" s="113" t="s">
        <v>4862</v>
      </c>
      <c r="AJ151" s="113">
        <v>-3500000</v>
      </c>
      <c r="AK151" s="99">
        <v>6</v>
      </c>
      <c r="AL151" s="20">
        <f t="shared" si="39"/>
        <v>231</v>
      </c>
      <c r="AM151" s="117">
        <f t="shared" si="45"/>
        <v>-808500000</v>
      </c>
      <c r="AN151" s="20" t="s">
        <v>4864</v>
      </c>
    </row>
    <row r="152" spans="7:44">
      <c r="Q152" s="169">
        <v>400348</v>
      </c>
      <c r="R152" s="213" t="s">
        <v>4992</v>
      </c>
      <c r="S152" s="213">
        <f>S151-1</f>
        <v>181</v>
      </c>
      <c r="T152" s="213" t="s">
        <v>4994</v>
      </c>
      <c r="U152" s="213">
        <v>199.3</v>
      </c>
      <c r="V152" s="99">
        <f t="shared" si="36"/>
        <v>230.0020284931507</v>
      </c>
      <c r="W152" s="32">
        <f t="shared" si="41"/>
        <v>234.60206906301372</v>
      </c>
      <c r="X152" s="32">
        <f t="shared" si="42"/>
        <v>239.20210963287673</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5896463</v>
      </c>
      <c r="R153" s="213" t="s">
        <v>5003</v>
      </c>
      <c r="S153" s="213">
        <f>S152-4</f>
        <v>177</v>
      </c>
      <c r="T153" s="213" t="s">
        <v>5004</v>
      </c>
      <c r="U153" s="213">
        <v>197.4</v>
      </c>
      <c r="V153" s="99">
        <f t="shared" si="36"/>
        <v>227.20361424657537</v>
      </c>
      <c r="W153" s="32">
        <f t="shared" si="41"/>
        <v>231.74768653150687</v>
      </c>
      <c r="X153" s="32">
        <f t="shared" si="42"/>
        <v>236.2917588164384</v>
      </c>
      <c r="Y153" s="96" t="s">
        <v>25</v>
      </c>
      <c r="Z153" s="96"/>
      <c r="AH153" s="99">
        <v>133</v>
      </c>
      <c r="AI153" s="113" t="s">
        <v>4910</v>
      </c>
      <c r="AJ153" s="113">
        <v>1400000</v>
      </c>
      <c r="AK153" s="99">
        <v>4</v>
      </c>
      <c r="AL153" s="20">
        <f t="shared" si="39"/>
        <v>213</v>
      </c>
      <c r="AM153" s="117">
        <f t="shared" si="45"/>
        <v>298200000</v>
      </c>
      <c r="AN153" s="20"/>
    </row>
    <row r="154" spans="7:44">
      <c r="Q154" s="169">
        <v>1499873</v>
      </c>
      <c r="R154" s="213" t="s">
        <v>5016</v>
      </c>
      <c r="S154" s="213">
        <f>S153-8</f>
        <v>169</v>
      </c>
      <c r="T154" s="213" t="s">
        <v>5018</v>
      </c>
      <c r="U154" s="213">
        <v>200.1</v>
      </c>
      <c r="V154" s="99">
        <f t="shared" ref="V154:V183" si="46">U154*(1+$R$118+$Q$15*S154/36500)</f>
        <v>229.08325150684934</v>
      </c>
      <c r="W154" s="32">
        <f t="shared" si="41"/>
        <v>233.66491653698634</v>
      </c>
      <c r="X154" s="32">
        <f t="shared" si="42"/>
        <v>238.24658156712331</v>
      </c>
      <c r="Y154" s="122" t="s">
        <v>25</v>
      </c>
      <c r="Z154" s="96"/>
      <c r="AH154" s="99">
        <v>134</v>
      </c>
      <c r="AI154" s="113" t="s">
        <v>4935</v>
      </c>
      <c r="AJ154" s="113">
        <v>1550000</v>
      </c>
      <c r="AK154" s="99">
        <v>2</v>
      </c>
      <c r="AL154" s="20">
        <f t="shared" si="39"/>
        <v>209</v>
      </c>
      <c r="AM154" s="117">
        <f t="shared" si="45"/>
        <v>323950000</v>
      </c>
      <c r="AN154" s="20"/>
    </row>
    <row r="155" spans="7:44">
      <c r="P155" s="114"/>
      <c r="Q155" s="169">
        <v>25141103</v>
      </c>
      <c r="R155" s="213" t="s">
        <v>5040</v>
      </c>
      <c r="S155" s="213">
        <f>S154-7</f>
        <v>162</v>
      </c>
      <c r="T155" s="213" t="s">
        <v>5043</v>
      </c>
      <c r="U155" s="213">
        <v>211.3</v>
      </c>
      <c r="V155" s="99">
        <f t="shared" si="46"/>
        <v>240.77085041095896</v>
      </c>
      <c r="W155" s="32">
        <f t="shared" si="41"/>
        <v>245.58626741917814</v>
      </c>
      <c r="X155" s="32">
        <f t="shared" si="42"/>
        <v>250.40168442739733</v>
      </c>
      <c r="Y155" s="96"/>
      <c r="Z155" s="96"/>
      <c r="AH155" s="99">
        <v>135</v>
      </c>
      <c r="AI155" s="113" t="s">
        <v>4882</v>
      </c>
      <c r="AJ155" s="113">
        <v>250000</v>
      </c>
      <c r="AK155" s="99">
        <v>6</v>
      </c>
      <c r="AL155" s="20">
        <f t="shared" si="39"/>
        <v>207</v>
      </c>
      <c r="AM155" s="117">
        <f t="shared" si="45"/>
        <v>51750000</v>
      </c>
      <c r="AN155" s="20"/>
    </row>
    <row r="156" spans="7:44">
      <c r="P156" s="114"/>
      <c r="Q156" s="169">
        <v>120581</v>
      </c>
      <c r="R156" s="213" t="s">
        <v>5044</v>
      </c>
      <c r="S156" s="213">
        <f>S155-1</f>
        <v>161</v>
      </c>
      <c r="T156" s="213" t="s">
        <v>5045</v>
      </c>
      <c r="U156" s="213">
        <v>210.2</v>
      </c>
      <c r="V156" s="99">
        <f t="shared" si="46"/>
        <v>239.35617972602739</v>
      </c>
      <c r="W156" s="32">
        <f t="shared" si="41"/>
        <v>244.14330332054794</v>
      </c>
      <c r="X156" s="32">
        <f t="shared" si="42"/>
        <v>248.93042691506849</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500951</v>
      </c>
      <c r="R157" s="213" t="s">
        <v>5044</v>
      </c>
      <c r="S157" s="213">
        <f>S156</f>
        <v>161</v>
      </c>
      <c r="T157" s="213" t="s">
        <v>5049</v>
      </c>
      <c r="U157" s="213">
        <v>209.6</v>
      </c>
      <c r="V157" s="99">
        <f t="shared" si="46"/>
        <v>238.67295561643834</v>
      </c>
      <c r="W157" s="32">
        <f t="shared" si="41"/>
        <v>243.44641472876711</v>
      </c>
      <c r="X157" s="32">
        <f t="shared" si="42"/>
        <v>248.21987384109588</v>
      </c>
      <c r="Y157" s="96"/>
      <c r="Z157" s="96"/>
      <c r="AH157" s="99">
        <v>137</v>
      </c>
      <c r="AI157" s="113" t="s">
        <v>4972</v>
      </c>
      <c r="AJ157" s="113">
        <v>2100000</v>
      </c>
      <c r="AK157" s="99">
        <v>1</v>
      </c>
      <c r="AL157" s="20">
        <f t="shared" si="39"/>
        <v>187</v>
      </c>
      <c r="AM157" s="117">
        <f t="shared" si="45"/>
        <v>392700000</v>
      </c>
      <c r="AN157" s="20"/>
    </row>
    <row r="158" spans="7:44">
      <c r="Q158" s="169">
        <v>493081</v>
      </c>
      <c r="R158" s="213" t="s">
        <v>5052</v>
      </c>
      <c r="S158" s="213">
        <f>S157-1</f>
        <v>160</v>
      </c>
      <c r="T158" s="213" t="s">
        <v>5054</v>
      </c>
      <c r="U158" s="213">
        <v>205.1</v>
      </c>
      <c r="V158" s="99">
        <f t="shared" si="46"/>
        <v>233.39143780821919</v>
      </c>
      <c r="W158" s="32">
        <f t="shared" si="41"/>
        <v>238.05926656438359</v>
      </c>
      <c r="X158" s="32">
        <f t="shared" si="42"/>
        <v>242.72709532054796</v>
      </c>
      <c r="Y158" s="96"/>
      <c r="Z158" s="96"/>
      <c r="AH158" s="99">
        <v>138</v>
      </c>
      <c r="AI158" s="113" t="s">
        <v>4977</v>
      </c>
      <c r="AJ158" s="113">
        <v>100000</v>
      </c>
      <c r="AK158" s="99">
        <v>4</v>
      </c>
      <c r="AL158" s="20">
        <f>AL159+AK158</f>
        <v>186</v>
      </c>
      <c r="AM158" s="117">
        <f t="shared" si="45"/>
        <v>18600000</v>
      </c>
      <c r="AN158" s="20"/>
      <c r="AQ158" t="s">
        <v>25</v>
      </c>
    </row>
    <row r="159" spans="7:44">
      <c r="Q159" s="169">
        <v>43287917</v>
      </c>
      <c r="R159" s="213" t="s">
        <v>5056</v>
      </c>
      <c r="S159" s="213">
        <f>S158-3</f>
        <v>157</v>
      </c>
      <c r="T159" s="213" t="s">
        <v>5079</v>
      </c>
      <c r="U159" s="213">
        <v>203.6</v>
      </c>
      <c r="V159" s="99">
        <f t="shared" si="46"/>
        <v>231.21596931506852</v>
      </c>
      <c r="W159" s="32">
        <f t="shared" si="41"/>
        <v>235.8402887013699</v>
      </c>
      <c r="X159" s="32">
        <f t="shared" si="42"/>
        <v>240.46460808767128</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3195995</v>
      </c>
      <c r="R160" s="213" t="s">
        <v>5083</v>
      </c>
      <c r="S160" s="213">
        <f>S159-11</f>
        <v>146</v>
      </c>
      <c r="T160" s="213" t="s">
        <v>5084</v>
      </c>
      <c r="U160" s="213">
        <v>228</v>
      </c>
      <c r="V160" s="99">
        <f t="shared" si="46"/>
        <v>257.00160000000005</v>
      </c>
      <c r="W160" s="32">
        <f t="shared" si="41"/>
        <v>262.14163200000007</v>
      </c>
      <c r="X160" s="32">
        <f t="shared" si="42"/>
        <v>267.28166400000009</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5897690</v>
      </c>
      <c r="R161" s="213" t="s">
        <v>5093</v>
      </c>
      <c r="S161" s="213">
        <f>S160-10</f>
        <v>136</v>
      </c>
      <c r="T161" s="213" t="s">
        <v>5096</v>
      </c>
      <c r="U161" s="213">
        <v>236</v>
      </c>
      <c r="V161" s="99">
        <f t="shared" si="46"/>
        <v>264.20878904109594</v>
      </c>
      <c r="W161" s="32">
        <f t="shared" si="41"/>
        <v>269.49296482191784</v>
      </c>
      <c r="X161" s="32">
        <f t="shared" si="42"/>
        <v>274.77714060273979</v>
      </c>
      <c r="Y161" s="96"/>
      <c r="AH161" s="99">
        <v>141</v>
      </c>
      <c r="AI161" s="113" t="s">
        <v>4983</v>
      </c>
      <c r="AJ161" s="113">
        <v>115000</v>
      </c>
      <c r="AK161" s="99"/>
      <c r="AL161" s="20">
        <f t="shared" si="47"/>
        <v>182</v>
      </c>
      <c r="AM161" s="117">
        <f t="shared" si="48"/>
        <v>20930000</v>
      </c>
      <c r="AN161" s="20"/>
      <c r="AQ161" t="s">
        <v>25</v>
      </c>
    </row>
    <row r="162" spans="15:43">
      <c r="Q162" s="169">
        <v>1203628</v>
      </c>
      <c r="R162" s="213" t="s">
        <v>5100</v>
      </c>
      <c r="S162" s="213">
        <f>S161-2</f>
        <v>134</v>
      </c>
      <c r="T162" s="213" t="s">
        <v>5101</v>
      </c>
      <c r="U162" s="213">
        <v>235.1</v>
      </c>
      <c r="V162" s="99">
        <f t="shared" si="46"/>
        <v>262.84051178082194</v>
      </c>
      <c r="W162" s="32">
        <f t="shared" ref="W162:W178" si="49">V162*(1+$W$19/100)</f>
        <v>268.0973220164384</v>
      </c>
      <c r="X162" s="32">
        <f t="shared" ref="X162:X178" si="50">V162*(1+$X$19/100)</f>
        <v>273.35413225205485</v>
      </c>
      <c r="Y162" s="96"/>
      <c r="AH162" s="99">
        <v>142</v>
      </c>
      <c r="AI162" s="113" t="s">
        <v>4992</v>
      </c>
      <c r="AJ162" s="113">
        <v>-1100000</v>
      </c>
      <c r="AK162" s="99"/>
      <c r="AL162" s="20">
        <f t="shared" si="47"/>
        <v>182</v>
      </c>
      <c r="AM162" s="117">
        <f t="shared" si="48"/>
        <v>-200200000</v>
      </c>
      <c r="AN162" s="20" t="s">
        <v>5002</v>
      </c>
      <c r="AQ162" t="s">
        <v>25</v>
      </c>
    </row>
    <row r="163" spans="15:43">
      <c r="P163" s="114"/>
      <c r="Q163" s="169">
        <v>2598983</v>
      </c>
      <c r="R163" s="213" t="s">
        <v>5098</v>
      </c>
      <c r="S163" s="213">
        <f>S162-2</f>
        <v>132</v>
      </c>
      <c r="T163" s="213" t="s">
        <v>5107</v>
      </c>
      <c r="U163" s="213">
        <v>233.2</v>
      </c>
      <c r="V163" s="99">
        <f t="shared" si="46"/>
        <v>260.35853589041096</v>
      </c>
      <c r="W163" s="32">
        <f t="shared" si="49"/>
        <v>265.56570660821916</v>
      </c>
      <c r="X163" s="32">
        <f t="shared" si="50"/>
        <v>270.77287732602741</v>
      </c>
      <c r="Y163" s="122" t="s">
        <v>25</v>
      </c>
      <c r="AH163" s="99">
        <v>143</v>
      </c>
      <c r="AI163" s="113" t="s">
        <v>4992</v>
      </c>
      <c r="AJ163" s="113">
        <v>900000</v>
      </c>
      <c r="AK163" s="99">
        <v>1</v>
      </c>
      <c r="AL163" s="20">
        <f t="shared" si="47"/>
        <v>182</v>
      </c>
      <c r="AM163" s="117">
        <f t="shared" si="48"/>
        <v>163800000</v>
      </c>
      <c r="AN163" s="20" t="s">
        <v>5001</v>
      </c>
    </row>
    <row r="164" spans="15:43">
      <c r="O164" s="96"/>
      <c r="Q164" s="169">
        <v>8061801</v>
      </c>
      <c r="R164" s="213" t="s">
        <v>5099</v>
      </c>
      <c r="S164" s="213">
        <f>S163-6</f>
        <v>126</v>
      </c>
      <c r="T164" s="213" t="s">
        <v>5110</v>
      </c>
      <c r="U164" s="213">
        <v>240.4</v>
      </c>
      <c r="V164" s="99">
        <f t="shared" si="46"/>
        <v>267.29055123287674</v>
      </c>
      <c r="W164" s="32">
        <f t="shared" si="49"/>
        <v>272.6363622575343</v>
      </c>
      <c r="X164" s="32">
        <f t="shared" si="50"/>
        <v>277.98217328219181</v>
      </c>
      <c r="Y164" s="96"/>
      <c r="AH164" s="99">
        <v>144</v>
      </c>
      <c r="AI164" s="113" t="s">
        <v>4999</v>
      </c>
      <c r="AJ164" s="113">
        <v>2000000</v>
      </c>
      <c r="AK164" s="99">
        <v>0</v>
      </c>
      <c r="AL164" s="20">
        <f t="shared" si="47"/>
        <v>181</v>
      </c>
      <c r="AM164" s="117">
        <f t="shared" si="48"/>
        <v>362000000</v>
      </c>
      <c r="AN164" s="20"/>
    </row>
    <row r="165" spans="15:43">
      <c r="O165" s="96"/>
      <c r="Q165" s="169">
        <v>45807179</v>
      </c>
      <c r="R165" s="213" t="s">
        <v>5115</v>
      </c>
      <c r="S165" s="213">
        <f>S164-1</f>
        <v>125</v>
      </c>
      <c r="T165" s="213" t="s">
        <v>5370</v>
      </c>
      <c r="U165" s="213">
        <v>241.4</v>
      </c>
      <c r="V165" s="99">
        <f t="shared" si="46"/>
        <v>268.21722520547945</v>
      </c>
      <c r="W165" s="32">
        <f t="shared" si="49"/>
        <v>273.58156970958902</v>
      </c>
      <c r="X165" s="32">
        <f t="shared" si="50"/>
        <v>278.94591421369864</v>
      </c>
      <c r="Y165" s="96"/>
      <c r="AH165" s="99">
        <v>145</v>
      </c>
      <c r="AI165" s="113" t="s">
        <v>4999</v>
      </c>
      <c r="AJ165" s="113">
        <v>360000</v>
      </c>
      <c r="AK165" s="99">
        <v>1</v>
      </c>
      <c r="AL165" s="20">
        <f t="shared" si="47"/>
        <v>181</v>
      </c>
      <c r="AM165" s="117">
        <f t="shared" si="48"/>
        <v>65160000</v>
      </c>
      <c r="AN165" s="20"/>
    </row>
    <row r="166" spans="15:43">
      <c r="Q166" s="169">
        <v>6188</v>
      </c>
      <c r="R166" s="213" t="s">
        <v>5171</v>
      </c>
      <c r="S166" s="213">
        <f>S165-33</f>
        <v>92</v>
      </c>
      <c r="T166" s="213" t="s">
        <v>5230</v>
      </c>
      <c r="U166" s="213">
        <v>6160</v>
      </c>
      <c r="V166" s="99">
        <f t="shared" si="46"/>
        <v>6688.3761095890413</v>
      </c>
      <c r="W166" s="32">
        <f t="shared" si="49"/>
        <v>6822.143631780822</v>
      </c>
      <c r="X166" s="32">
        <f t="shared" si="50"/>
        <v>6955.9111539726036</v>
      </c>
      <c r="Y166" t="s">
        <v>25</v>
      </c>
      <c r="AH166" s="99">
        <v>146</v>
      </c>
      <c r="AI166" s="113" t="s">
        <v>5000</v>
      </c>
      <c r="AJ166" s="113">
        <v>3000000</v>
      </c>
      <c r="AK166" s="99">
        <v>1</v>
      </c>
      <c r="AL166" s="20">
        <f t="shared" si="47"/>
        <v>180</v>
      </c>
      <c r="AM166" s="117">
        <f t="shared" si="48"/>
        <v>540000000</v>
      </c>
      <c r="AN166" s="20"/>
    </row>
    <row r="167" spans="15:43">
      <c r="Q167" s="169">
        <v>298455</v>
      </c>
      <c r="R167" s="213" t="s">
        <v>5245</v>
      </c>
      <c r="S167" s="213">
        <f>S166-30</f>
        <v>62</v>
      </c>
      <c r="T167" s="213" t="s">
        <v>5247</v>
      </c>
      <c r="U167" s="213">
        <v>199</v>
      </c>
      <c r="V167" s="99">
        <f t="shared" si="46"/>
        <v>211.48956712328769</v>
      </c>
      <c r="W167" s="32">
        <f t="shared" si="49"/>
        <v>215.71935846575343</v>
      </c>
      <c r="X167" s="32">
        <f t="shared" si="50"/>
        <v>219.9491498082192</v>
      </c>
      <c r="AH167" s="99">
        <v>147</v>
      </c>
      <c r="AI167" s="113" t="s">
        <v>4997</v>
      </c>
      <c r="AJ167" s="113">
        <v>-658226</v>
      </c>
      <c r="AK167" s="99">
        <v>1</v>
      </c>
      <c r="AL167" s="20">
        <f t="shared" si="47"/>
        <v>179</v>
      </c>
      <c r="AM167" s="117">
        <f t="shared" si="48"/>
        <v>-117822454</v>
      </c>
      <c r="AN167" s="20"/>
    </row>
    <row r="168" spans="15:43">
      <c r="Q168" s="169">
        <v>6702018</v>
      </c>
      <c r="R168" s="213" t="s">
        <v>5273</v>
      </c>
      <c r="S168" s="213">
        <f>S167-3</f>
        <v>59</v>
      </c>
      <c r="T168" s="213" t="s">
        <v>5277</v>
      </c>
      <c r="U168" s="213">
        <v>7413</v>
      </c>
      <c r="V168" s="99">
        <f t="shared" si="46"/>
        <v>7861.1920109589046</v>
      </c>
      <c r="W168" s="32">
        <f t="shared" si="49"/>
        <v>8018.4158511780824</v>
      </c>
      <c r="X168" s="32">
        <f t="shared" si="50"/>
        <v>8175.6396913972612</v>
      </c>
      <c r="Y168" t="s">
        <v>25</v>
      </c>
      <c r="AH168" s="99">
        <v>148</v>
      </c>
      <c r="AI168" s="113" t="s">
        <v>5003</v>
      </c>
      <c r="AJ168" s="113">
        <v>1000000</v>
      </c>
      <c r="AK168" s="99">
        <v>15</v>
      </c>
      <c r="AL168" s="20">
        <f t="shared" si="47"/>
        <v>178</v>
      </c>
      <c r="AM168" s="117">
        <f t="shared" si="48"/>
        <v>178000000</v>
      </c>
      <c r="AN168" s="20"/>
      <c r="AP168" t="s">
        <v>25</v>
      </c>
    </row>
    <row r="169" spans="15:43">
      <c r="Q169" s="169">
        <v>1068775</v>
      </c>
      <c r="R169" s="213" t="s">
        <v>5278</v>
      </c>
      <c r="S169" s="213">
        <f>S168-1</f>
        <v>58</v>
      </c>
      <c r="T169" s="213" t="s">
        <v>5281</v>
      </c>
      <c r="U169" s="213">
        <v>7046</v>
      </c>
      <c r="V169" s="99">
        <f t="shared" si="46"/>
        <v>7466.597939726028</v>
      </c>
      <c r="W169" s="32">
        <f t="shared" si="49"/>
        <v>7615.9298985205487</v>
      </c>
      <c r="X169" s="32">
        <f t="shared" si="50"/>
        <v>7765.2618573150694</v>
      </c>
      <c r="AH169" s="99">
        <v>149</v>
      </c>
      <c r="AI169" s="113" t="s">
        <v>5040</v>
      </c>
      <c r="AJ169" s="113">
        <v>1130250</v>
      </c>
      <c r="AK169" s="99">
        <v>5</v>
      </c>
      <c r="AL169" s="20">
        <f t="shared" si="39"/>
        <v>163</v>
      </c>
      <c r="AM169" s="117">
        <f t="shared" si="45"/>
        <v>184230750</v>
      </c>
      <c r="AN169" s="20"/>
    </row>
    <row r="170" spans="15:43">
      <c r="Q170" s="169">
        <v>1633018</v>
      </c>
      <c r="R170" s="213" t="s">
        <v>5284</v>
      </c>
      <c r="S170" s="213">
        <f>S169-1</f>
        <v>57</v>
      </c>
      <c r="T170" s="213" t="s">
        <v>5288</v>
      </c>
      <c r="U170" s="213">
        <v>812.7</v>
      </c>
      <c r="V170" s="99">
        <f t="shared" si="46"/>
        <v>860.58918246575342</v>
      </c>
      <c r="W170" s="32">
        <f t="shared" si="49"/>
        <v>877.80096611506849</v>
      </c>
      <c r="X170" s="32">
        <f t="shared" si="50"/>
        <v>895.01274976438356</v>
      </c>
      <c r="Y170" t="s">
        <v>25</v>
      </c>
      <c r="AE170" s="96" t="s">
        <v>25</v>
      </c>
      <c r="AH170" s="99">
        <v>150</v>
      </c>
      <c r="AI170" s="113" t="s">
        <v>5056</v>
      </c>
      <c r="AJ170" s="113">
        <v>206000</v>
      </c>
      <c r="AK170" s="99">
        <v>2</v>
      </c>
      <c r="AL170" s="20">
        <f t="shared" si="39"/>
        <v>158</v>
      </c>
      <c r="AM170" s="117">
        <f t="shared" si="45"/>
        <v>32548000</v>
      </c>
      <c r="AN170" s="20"/>
    </row>
    <row r="171" spans="15:43">
      <c r="Q171" s="169">
        <v>12307678</v>
      </c>
      <c r="R171" s="213" t="s">
        <v>5289</v>
      </c>
      <c r="S171" s="213">
        <f>S170-1</f>
        <v>56</v>
      </c>
      <c r="T171" s="213" t="s">
        <v>5293</v>
      </c>
      <c r="U171" s="213">
        <v>7115</v>
      </c>
      <c r="V171" s="99">
        <f t="shared" si="46"/>
        <v>7528.8006027397269</v>
      </c>
      <c r="W171" s="32">
        <f t="shared" si="49"/>
        <v>7679.3766147945216</v>
      </c>
      <c r="X171" s="32">
        <f t="shared" si="50"/>
        <v>7829.9526268493164</v>
      </c>
      <c r="AH171" s="99">
        <v>151</v>
      </c>
      <c r="AI171" s="113" t="s">
        <v>5063</v>
      </c>
      <c r="AJ171" s="113">
        <v>50000</v>
      </c>
      <c r="AK171" s="99">
        <v>2</v>
      </c>
      <c r="AL171" s="20">
        <f t="shared" si="39"/>
        <v>156</v>
      </c>
      <c r="AM171" s="117">
        <f t="shared" si="45"/>
        <v>7800000</v>
      </c>
      <c r="AN171" s="20"/>
    </row>
    <row r="172" spans="15:43">
      <c r="Q172" s="169">
        <v>453499</v>
      </c>
      <c r="R172" s="213" t="s">
        <v>5298</v>
      </c>
      <c r="S172" s="213">
        <f>S171-1</f>
        <v>55</v>
      </c>
      <c r="T172" s="213" t="s">
        <v>5299</v>
      </c>
      <c r="U172" s="213">
        <v>6945.4</v>
      </c>
      <c r="V172" s="99">
        <f t="shared" si="46"/>
        <v>7344.0088745205485</v>
      </c>
      <c r="W172" s="32">
        <f t="shared" si="49"/>
        <v>7490.8890520109599</v>
      </c>
      <c r="X172" s="32">
        <f t="shared" si="50"/>
        <v>7637.7692295013703</v>
      </c>
      <c r="Y172" t="s">
        <v>25</v>
      </c>
      <c r="AH172" s="99">
        <v>152</v>
      </c>
      <c r="AI172" s="113" t="s">
        <v>5070</v>
      </c>
      <c r="AJ172" s="113">
        <v>105000</v>
      </c>
      <c r="AK172" s="99">
        <v>4</v>
      </c>
      <c r="AL172" s="20">
        <f t="shared" si="39"/>
        <v>154</v>
      </c>
      <c r="AM172" s="117">
        <f t="shared" si="45"/>
        <v>16170000</v>
      </c>
      <c r="AN172" s="20"/>
    </row>
    <row r="173" spans="15:43">
      <c r="Q173" s="169">
        <v>121792</v>
      </c>
      <c r="R173" s="213" t="s">
        <v>5298</v>
      </c>
      <c r="S173" s="213">
        <f>S172</f>
        <v>55</v>
      </c>
      <c r="T173" s="213" t="s">
        <v>5300</v>
      </c>
      <c r="U173" s="213">
        <v>808.2</v>
      </c>
      <c r="V173" s="99">
        <f t="shared" si="46"/>
        <v>854.58403726027416</v>
      </c>
      <c r="W173" s="32">
        <f t="shared" si="49"/>
        <v>871.67571800547967</v>
      </c>
      <c r="X173" s="32">
        <f t="shared" si="50"/>
        <v>888.76739875068517</v>
      </c>
      <c r="Y173" t="s">
        <v>25</v>
      </c>
      <c r="AH173" s="99">
        <v>153</v>
      </c>
      <c r="AI173" s="113" t="s">
        <v>5075</v>
      </c>
      <c r="AJ173" s="113">
        <v>5000000</v>
      </c>
      <c r="AK173" s="99">
        <v>1</v>
      </c>
      <c r="AL173" s="20">
        <f t="shared" si="39"/>
        <v>150</v>
      </c>
      <c r="AM173" s="117">
        <f t="shared" si="45"/>
        <v>750000000</v>
      </c>
      <c r="AN173" s="20"/>
    </row>
    <row r="174" spans="15:43">
      <c r="Q174" s="169">
        <v>5649</v>
      </c>
      <c r="R174" s="213" t="s">
        <v>5304</v>
      </c>
      <c r="S174" s="213">
        <f>S173-4</f>
        <v>51</v>
      </c>
      <c r="T174" s="213" t="s">
        <v>5305</v>
      </c>
      <c r="U174" s="213">
        <v>803</v>
      </c>
      <c r="V174" s="99">
        <f t="shared" si="46"/>
        <v>846.62160000000006</v>
      </c>
      <c r="W174" s="32">
        <f t="shared" si="49"/>
        <v>863.55403200000012</v>
      </c>
      <c r="X174" s="32">
        <f t="shared" si="50"/>
        <v>880.48646400000007</v>
      </c>
      <c r="Y174" t="s">
        <v>25</v>
      </c>
      <c r="Z174" t="s">
        <v>25</v>
      </c>
      <c r="AH174" s="99">
        <v>154</v>
      </c>
      <c r="AI174" s="113" t="s">
        <v>5076</v>
      </c>
      <c r="AJ174" s="113">
        <v>2500000</v>
      </c>
      <c r="AK174" s="99">
        <v>2</v>
      </c>
      <c r="AL174" s="20">
        <f t="shared" si="39"/>
        <v>149</v>
      </c>
      <c r="AM174" s="117">
        <f t="shared" si="45"/>
        <v>372500000</v>
      </c>
      <c r="AN174" s="20"/>
    </row>
    <row r="175" spans="15:43">
      <c r="Q175" s="169">
        <v>1361093</v>
      </c>
      <c r="R175" s="213" t="s">
        <v>990</v>
      </c>
      <c r="S175" s="213">
        <f>S174-8</f>
        <v>43</v>
      </c>
      <c r="T175" s="213" t="s">
        <v>5327</v>
      </c>
      <c r="U175" s="213">
        <v>6948.4</v>
      </c>
      <c r="V175" s="99">
        <f t="shared" si="46"/>
        <v>7283.2176964383561</v>
      </c>
      <c r="W175" s="32">
        <f t="shared" si="49"/>
        <v>7428.8820503671232</v>
      </c>
      <c r="X175" s="32">
        <f t="shared" si="50"/>
        <v>7574.5464042958911</v>
      </c>
      <c r="AH175" s="269">
        <v>155</v>
      </c>
      <c r="AI175" s="265" t="s">
        <v>5083</v>
      </c>
      <c r="AJ175" s="265">
        <v>-50000000</v>
      </c>
      <c r="AK175" s="269">
        <v>7</v>
      </c>
      <c r="AL175" s="269">
        <f t="shared" si="39"/>
        <v>147</v>
      </c>
      <c r="AM175" s="265">
        <f t="shared" si="45"/>
        <v>-7350000000</v>
      </c>
      <c r="AN175" s="269" t="s">
        <v>5092</v>
      </c>
    </row>
    <row r="176" spans="15:43">
      <c r="Q176" s="169">
        <v>172529</v>
      </c>
      <c r="R176" s="213" t="s">
        <v>5332</v>
      </c>
      <c r="S176" s="213">
        <f>S175-2</f>
        <v>41</v>
      </c>
      <c r="T176" s="213" t="s">
        <v>5334</v>
      </c>
      <c r="U176" s="213">
        <v>6870</v>
      </c>
      <c r="V176" s="99">
        <f t="shared" si="46"/>
        <v>7190.4996164383565</v>
      </c>
      <c r="W176" s="32">
        <f t="shared" si="49"/>
        <v>7334.3096087671238</v>
      </c>
      <c r="X176" s="32">
        <f t="shared" si="50"/>
        <v>7478.1196010958911</v>
      </c>
      <c r="AH176" s="99">
        <v>156</v>
      </c>
      <c r="AI176" s="113" t="s">
        <v>5090</v>
      </c>
      <c r="AJ176" s="113">
        <v>10000000</v>
      </c>
      <c r="AK176" s="99">
        <v>12</v>
      </c>
      <c r="AL176" s="20">
        <f t="shared" si="39"/>
        <v>140</v>
      </c>
      <c r="AM176" s="117">
        <f t="shared" si="45"/>
        <v>1400000000</v>
      </c>
      <c r="AN176" s="20" t="s">
        <v>4746</v>
      </c>
    </row>
    <row r="177" spans="17:44">
      <c r="Q177" s="169">
        <v>296336</v>
      </c>
      <c r="R177" s="213" t="s">
        <v>5332</v>
      </c>
      <c r="S177" s="213">
        <f>S176</f>
        <v>41</v>
      </c>
      <c r="T177" s="213" t="s">
        <v>5335</v>
      </c>
      <c r="U177" s="213">
        <v>6860.4</v>
      </c>
      <c r="V177" s="99">
        <f t="shared" si="46"/>
        <v>7180.4517567123285</v>
      </c>
      <c r="W177" s="32">
        <f t="shared" si="49"/>
        <v>7324.0607918465748</v>
      </c>
      <c r="X177" s="32">
        <f t="shared" si="50"/>
        <v>7467.6698269808221</v>
      </c>
      <c r="AH177" s="99">
        <v>157</v>
      </c>
      <c r="AI177" s="113" t="s">
        <v>5099</v>
      </c>
      <c r="AJ177" s="113">
        <v>-16266000</v>
      </c>
      <c r="AK177" s="99">
        <v>1</v>
      </c>
      <c r="AL177" s="20">
        <f t="shared" si="39"/>
        <v>128</v>
      </c>
      <c r="AM177" s="117">
        <f t="shared" si="45"/>
        <v>-2082048000</v>
      </c>
      <c r="AN177" s="20" t="s">
        <v>5114</v>
      </c>
      <c r="AQ177" t="s">
        <v>25</v>
      </c>
    </row>
    <row r="178" spans="17:44">
      <c r="Q178" s="169">
        <v>302781</v>
      </c>
      <c r="R178" s="213" t="s">
        <v>5332</v>
      </c>
      <c r="S178" s="213">
        <f>S177</f>
        <v>41</v>
      </c>
      <c r="T178" s="213" t="s">
        <v>5336</v>
      </c>
      <c r="U178" s="213">
        <v>6850.3</v>
      </c>
      <c r="V178" s="99">
        <f t="shared" si="46"/>
        <v>7169.8805709589051</v>
      </c>
      <c r="W178" s="32">
        <f t="shared" si="49"/>
        <v>7313.2781823780833</v>
      </c>
      <c r="X178" s="32">
        <f t="shared" si="50"/>
        <v>7456.6757937972616</v>
      </c>
      <c r="AH178" s="99">
        <v>158</v>
      </c>
      <c r="AI178" s="113" t="s">
        <v>5115</v>
      </c>
      <c r="AJ178" s="113">
        <v>1000000</v>
      </c>
      <c r="AK178" s="99">
        <v>6</v>
      </c>
      <c r="AL178" s="20">
        <f t="shared" ref="AL178:AL181" si="51">AL179+AK178</f>
        <v>127</v>
      </c>
      <c r="AM178" s="117">
        <f t="shared" ref="AM178:AM181" si="52">AJ178*AL178</f>
        <v>127000000</v>
      </c>
      <c r="AN178" s="20"/>
    </row>
    <row r="179" spans="17:44">
      <c r="Q179" s="169">
        <v>204929</v>
      </c>
      <c r="R179" s="213" t="s">
        <v>5337</v>
      </c>
      <c r="S179" s="213">
        <f>S178-4</f>
        <v>37</v>
      </c>
      <c r="T179" s="213" t="s">
        <v>5385</v>
      </c>
      <c r="U179" s="213">
        <v>6800.1</v>
      </c>
      <c r="V179" s="99">
        <f t="shared" si="46"/>
        <v>7096.4725775342486</v>
      </c>
      <c r="W179" s="32">
        <f t="shared" ref="W179:W183" si="53">V179*(1+$W$19/100)</f>
        <v>7238.4020290849339</v>
      </c>
      <c r="X179" s="32">
        <f t="shared" ref="X179:X183" si="54">V179*(1+$X$19/100)</f>
        <v>7380.3314806356184</v>
      </c>
      <c r="Y179" t="s">
        <v>25</v>
      </c>
      <c r="AH179" s="99">
        <v>159</v>
      </c>
      <c r="AI179" s="113" t="s">
        <v>5123</v>
      </c>
      <c r="AJ179" s="113">
        <v>40000</v>
      </c>
      <c r="AK179" s="99">
        <v>5</v>
      </c>
      <c r="AL179" s="20">
        <f t="shared" si="51"/>
        <v>121</v>
      </c>
      <c r="AM179" s="117">
        <f t="shared" si="52"/>
        <v>4840000</v>
      </c>
      <c r="AN179" s="20"/>
    </row>
    <row r="180" spans="17:44">
      <c r="Q180" s="169">
        <v>283814</v>
      </c>
      <c r="R180" s="213" t="s">
        <v>5395</v>
      </c>
      <c r="S180" s="213">
        <f>S179-36</f>
        <v>1</v>
      </c>
      <c r="T180" s="213" t="s">
        <v>5396</v>
      </c>
      <c r="U180" s="213">
        <v>298</v>
      </c>
      <c r="V180" s="99">
        <f t="shared" si="46"/>
        <v>302.75820273972602</v>
      </c>
      <c r="W180" s="32">
        <f t="shared" si="53"/>
        <v>308.81336679452056</v>
      </c>
      <c r="X180" s="32">
        <f t="shared" si="54"/>
        <v>314.86853084931505</v>
      </c>
      <c r="AH180" s="99">
        <v>160</v>
      </c>
      <c r="AI180" s="113" t="s">
        <v>5135</v>
      </c>
      <c r="AJ180" s="113">
        <v>120000</v>
      </c>
      <c r="AK180" s="99">
        <v>6</v>
      </c>
      <c r="AL180" s="20">
        <f t="shared" si="51"/>
        <v>116</v>
      </c>
      <c r="AM180" s="117">
        <f t="shared" si="52"/>
        <v>13920000</v>
      </c>
      <c r="AN180" s="20"/>
    </row>
    <row r="181" spans="17:44">
      <c r="Q181" s="169">
        <v>102173</v>
      </c>
      <c r="R181" s="213" t="s">
        <v>5397</v>
      </c>
      <c r="S181" s="213">
        <f>S180-1</f>
        <v>0</v>
      </c>
      <c r="T181" s="213" t="s">
        <v>5402</v>
      </c>
      <c r="U181" s="213">
        <v>6357</v>
      </c>
      <c r="V181" s="99">
        <f t="shared" si="46"/>
        <v>6453.626400000001</v>
      </c>
      <c r="W181" s="32">
        <f t="shared" si="53"/>
        <v>6582.6989280000007</v>
      </c>
      <c r="X181" s="32">
        <f t="shared" si="54"/>
        <v>6711.7714560000013</v>
      </c>
      <c r="Y181" t="s">
        <v>25</v>
      </c>
      <c r="AH181" s="99">
        <v>161</v>
      </c>
      <c r="AI181" s="113" t="s">
        <v>5128</v>
      </c>
      <c r="AJ181" s="113">
        <v>249000</v>
      </c>
      <c r="AK181" s="99">
        <v>9</v>
      </c>
      <c r="AL181" s="20">
        <f t="shared" si="51"/>
        <v>110</v>
      </c>
      <c r="AM181" s="117">
        <f t="shared" si="52"/>
        <v>27390000</v>
      </c>
      <c r="AN181" s="20"/>
    </row>
    <row r="182" spans="17:44">
      <c r="Q182" s="169">
        <v>101286</v>
      </c>
      <c r="R182" s="213" t="s">
        <v>5400</v>
      </c>
      <c r="S182" s="213">
        <f>S181-1</f>
        <v>-1</v>
      </c>
      <c r="T182" s="213" t="s">
        <v>5401</v>
      </c>
      <c r="U182" s="213">
        <v>297.39999999999998</v>
      </c>
      <c r="V182" s="99">
        <f t="shared" si="46"/>
        <v>301.69233753424663</v>
      </c>
      <c r="W182" s="32">
        <f t="shared" si="53"/>
        <v>307.72618428493155</v>
      </c>
      <c r="X182" s="32">
        <f t="shared" si="54"/>
        <v>313.76003103561652</v>
      </c>
      <c r="Y182" t="s">
        <v>25</v>
      </c>
      <c r="AH182" s="99">
        <v>162</v>
      </c>
      <c r="AI182" s="113" t="s">
        <v>5158</v>
      </c>
      <c r="AJ182" s="113">
        <v>65000</v>
      </c>
      <c r="AK182" s="99">
        <v>7</v>
      </c>
      <c r="AL182" s="20">
        <f t="shared" ref="AL182" si="55">AL183+AK182</f>
        <v>101</v>
      </c>
      <c r="AM182" s="117">
        <f t="shared" ref="AM182" si="56">AJ182*AL182</f>
        <v>6565000</v>
      </c>
      <c r="AN182" s="20"/>
    </row>
    <row r="183" spans="17:44">
      <c r="Q183" s="169"/>
      <c r="R183" s="168"/>
      <c r="S183" s="168"/>
      <c r="T183" s="168"/>
      <c r="U183" s="168"/>
      <c r="V183" s="99">
        <f t="shared" si="46"/>
        <v>0</v>
      </c>
      <c r="W183" s="32">
        <f t="shared" si="53"/>
        <v>0</v>
      </c>
      <c r="X183" s="32">
        <f t="shared" si="54"/>
        <v>0</v>
      </c>
      <c r="AH183" s="99">
        <v>163</v>
      </c>
      <c r="AI183" s="113" t="s">
        <v>5171</v>
      </c>
      <c r="AJ183" s="113">
        <v>-312598</v>
      </c>
      <c r="AK183" s="99">
        <v>0</v>
      </c>
      <c r="AL183" s="20">
        <f t="shared" ref="AL183:AL190" si="57">AL184+AK183</f>
        <v>94</v>
      </c>
      <c r="AM183" s="117">
        <f t="shared" ref="AM183:AM190" si="58">AJ183*AL183</f>
        <v>-29384212</v>
      </c>
      <c r="AN183" s="20"/>
      <c r="AO183" t="s">
        <v>25</v>
      </c>
      <c r="AQ183" t="s">
        <v>25</v>
      </c>
    </row>
    <row r="184" spans="17:44">
      <c r="Q184" s="113">
        <f>SUM(N44:N49)-SUM(Q122:Q183)</f>
        <v>437994204.70000005</v>
      </c>
      <c r="R184" s="112"/>
      <c r="S184" s="112"/>
      <c r="T184" s="112"/>
      <c r="U184" s="168"/>
      <c r="V184" s="99" t="s">
        <v>25</v>
      </c>
      <c r="W184" s="32"/>
      <c r="X184" s="32"/>
      <c r="AH184" s="99">
        <v>164</v>
      </c>
      <c r="AI184" s="113" t="s">
        <v>5171</v>
      </c>
      <c r="AJ184" s="113">
        <v>50000</v>
      </c>
      <c r="AK184" s="99">
        <v>6</v>
      </c>
      <c r="AL184" s="20">
        <f t="shared" si="57"/>
        <v>94</v>
      </c>
      <c r="AM184" s="117">
        <f t="shared" si="58"/>
        <v>4700000</v>
      </c>
      <c r="AN184" s="20"/>
      <c r="AR184" t="s">
        <v>25</v>
      </c>
    </row>
    <row r="185" spans="17:44">
      <c r="Q185" s="26"/>
      <c r="R185" s="181"/>
      <c r="S185" s="181"/>
      <c r="T185" t="s">
        <v>25</v>
      </c>
      <c r="U185" s="96" t="s">
        <v>25</v>
      </c>
      <c r="V185" s="96" t="s">
        <v>25</v>
      </c>
      <c r="W185" s="96" t="s">
        <v>25</v>
      </c>
      <c r="Y185" t="s">
        <v>25</v>
      </c>
      <c r="AH185" s="99">
        <v>165</v>
      </c>
      <c r="AI185" s="113" t="s">
        <v>5184</v>
      </c>
      <c r="AJ185" s="113">
        <v>-200000</v>
      </c>
      <c r="AK185" s="99">
        <v>0</v>
      </c>
      <c r="AL185" s="20">
        <f t="shared" si="57"/>
        <v>88</v>
      </c>
      <c r="AM185" s="117">
        <f t="shared" si="58"/>
        <v>-17600000</v>
      </c>
      <c r="AN185" s="20" t="s">
        <v>5185</v>
      </c>
    </row>
    <row r="186" spans="17:44">
      <c r="R186" s="32" t="s">
        <v>4557</v>
      </c>
      <c r="S186" s="32" t="s">
        <v>948</v>
      </c>
      <c r="T186" t="s">
        <v>25</v>
      </c>
      <c r="U186" s="96" t="s">
        <v>25</v>
      </c>
      <c r="V186" s="96" t="s">
        <v>25</v>
      </c>
      <c r="W186" s="96" t="s">
        <v>25</v>
      </c>
      <c r="X186" s="122" t="s">
        <v>25</v>
      </c>
      <c r="AH186" s="99">
        <v>166</v>
      </c>
      <c r="AI186" s="113" t="s">
        <v>5184</v>
      </c>
      <c r="AJ186" s="113">
        <v>200000</v>
      </c>
      <c r="AK186" s="99">
        <v>3</v>
      </c>
      <c r="AL186" s="20">
        <f t="shared" si="57"/>
        <v>88</v>
      </c>
      <c r="AM186" s="117">
        <f t="shared" si="58"/>
        <v>17600000</v>
      </c>
      <c r="AN186" s="20"/>
      <c r="AQ186" t="s">
        <v>25</v>
      </c>
      <c r="AR186" t="s">
        <v>25</v>
      </c>
    </row>
    <row r="187" spans="17:44">
      <c r="R187" s="32">
        <v>123</v>
      </c>
      <c r="S187" s="234">
        <v>500584</v>
      </c>
      <c r="U187" s="96" t="s">
        <v>25</v>
      </c>
      <c r="V187" s="122" t="s">
        <v>25</v>
      </c>
      <c r="W187" s="96" t="s">
        <v>25</v>
      </c>
      <c r="X187" t="s">
        <v>25</v>
      </c>
      <c r="Z187" t="s">
        <v>25</v>
      </c>
      <c r="AH187" s="99">
        <v>167</v>
      </c>
      <c r="AI187" s="113" t="s">
        <v>5193</v>
      </c>
      <c r="AJ187" s="113">
        <v>200000</v>
      </c>
      <c r="AK187" s="99">
        <v>3</v>
      </c>
      <c r="AL187" s="20">
        <f t="shared" si="57"/>
        <v>85</v>
      </c>
      <c r="AM187" s="117">
        <f t="shared" si="58"/>
        <v>17000000</v>
      </c>
      <c r="AN187" s="20"/>
    </row>
    <row r="188" spans="17:44">
      <c r="Q188" t="s">
        <v>25</v>
      </c>
      <c r="R188" s="32">
        <v>76</v>
      </c>
      <c r="S188" s="1">
        <f>S187*R188/R187</f>
        <v>309303.93495934957</v>
      </c>
      <c r="U188" s="96" t="s">
        <v>25</v>
      </c>
      <c r="V188" s="122" t="s">
        <v>25</v>
      </c>
      <c r="W188" s="96" t="s">
        <v>25</v>
      </c>
      <c r="X188" t="s">
        <v>25</v>
      </c>
      <c r="AH188" s="99">
        <v>168</v>
      </c>
      <c r="AI188" s="113" t="s">
        <v>5198</v>
      </c>
      <c r="AJ188" s="113">
        <v>30000</v>
      </c>
      <c r="AK188" s="99">
        <v>7</v>
      </c>
      <c r="AL188" s="20">
        <f t="shared" si="57"/>
        <v>82</v>
      </c>
      <c r="AM188" s="117">
        <f t="shared" si="58"/>
        <v>2460000</v>
      </c>
      <c r="AN188" s="20"/>
    </row>
    <row r="189" spans="17:44">
      <c r="R189" s="32">
        <f>R187-R188</f>
        <v>47</v>
      </c>
      <c r="S189" s="1">
        <f>R189*S187/R187</f>
        <v>191280.0650406504</v>
      </c>
      <c r="T189" t="s">
        <v>25</v>
      </c>
      <c r="U189" s="122" t="s">
        <v>25</v>
      </c>
      <c r="V189" s="96"/>
      <c r="W189" s="122" t="s">
        <v>25</v>
      </c>
      <c r="X189" t="s">
        <v>25</v>
      </c>
      <c r="AH189" s="99">
        <v>169</v>
      </c>
      <c r="AI189" s="113" t="s">
        <v>5146</v>
      </c>
      <c r="AJ189" s="113">
        <v>-10000000</v>
      </c>
      <c r="AK189" s="99">
        <v>0</v>
      </c>
      <c r="AL189" s="20">
        <f t="shared" si="57"/>
        <v>75</v>
      </c>
      <c r="AM189" s="117">
        <f t="shared" si="58"/>
        <v>-750000000</v>
      </c>
      <c r="AN189" s="20" t="s">
        <v>5092</v>
      </c>
    </row>
    <row r="190" spans="17:44">
      <c r="V190" s="96"/>
      <c r="W190"/>
      <c r="X190" t="s">
        <v>25</v>
      </c>
      <c r="AH190" s="99">
        <v>170</v>
      </c>
      <c r="AI190" s="113" t="s">
        <v>5146</v>
      </c>
      <c r="AJ190" s="113">
        <v>6000000</v>
      </c>
      <c r="AK190" s="99">
        <v>8</v>
      </c>
      <c r="AL190" s="20">
        <f t="shared" si="57"/>
        <v>75</v>
      </c>
      <c r="AM190" s="117">
        <f t="shared" si="58"/>
        <v>450000000</v>
      </c>
      <c r="AN190" s="20"/>
      <c r="AP190" t="s">
        <v>25</v>
      </c>
    </row>
    <row r="191" spans="17:44">
      <c r="Q191" s="99" t="s">
        <v>4448</v>
      </c>
      <c r="R191" s="99" t="s">
        <v>4450</v>
      </c>
      <c r="S191" s="99"/>
      <c r="T191" s="99" t="s">
        <v>4451</v>
      </c>
      <c r="U191" s="99"/>
      <c r="V191" s="99"/>
      <c r="W191" s="99" t="s">
        <v>4560</v>
      </c>
      <c r="Y191" t="s">
        <v>25</v>
      </c>
      <c r="AH191" s="99">
        <v>171</v>
      </c>
      <c r="AI191" s="113" t="s">
        <v>5234</v>
      </c>
      <c r="AJ191" s="113">
        <v>150000</v>
      </c>
      <c r="AK191" s="99">
        <v>7</v>
      </c>
      <c r="AL191" s="20">
        <f t="shared" ref="AL191:AL216" si="59">AL192+AK191</f>
        <v>67</v>
      </c>
      <c r="AM191" s="117">
        <f t="shared" ref="AM191:AM216" si="60">AJ191*AL191</f>
        <v>10050000</v>
      </c>
      <c r="AN191" s="20"/>
    </row>
    <row r="192" spans="17:44">
      <c r="Q192" s="113">
        <v>1000</v>
      </c>
      <c r="R192" s="99">
        <v>0.25</v>
      </c>
      <c r="S192" s="99"/>
      <c r="T192" s="99">
        <f>1-R192</f>
        <v>0.75</v>
      </c>
      <c r="U192" s="99"/>
      <c r="V192" s="99"/>
      <c r="W192" s="99"/>
      <c r="AH192" s="99">
        <v>172</v>
      </c>
      <c r="AI192" s="113" t="s">
        <v>5278</v>
      </c>
      <c r="AJ192" s="113">
        <v>400000</v>
      </c>
      <c r="AK192" s="99">
        <v>1</v>
      </c>
      <c r="AL192" s="20">
        <f t="shared" si="59"/>
        <v>60</v>
      </c>
      <c r="AM192" s="117">
        <f t="shared" si="60"/>
        <v>24000000</v>
      </c>
      <c r="AN192" s="20"/>
    </row>
    <row r="193" spans="15:45">
      <c r="Q193" s="168" t="s">
        <v>4435</v>
      </c>
      <c r="R193" s="168" t="s">
        <v>4453</v>
      </c>
      <c r="S193" s="168" t="s">
        <v>4454</v>
      </c>
      <c r="T193" s="168"/>
      <c r="U193" s="168" t="s">
        <v>4449</v>
      </c>
      <c r="V193" s="56" t="s">
        <v>4452</v>
      </c>
      <c r="W193" s="99"/>
      <c r="X193" s="8" t="s">
        <v>25</v>
      </c>
      <c r="AH193" s="99">
        <v>173</v>
      </c>
      <c r="AI193" s="113" t="s">
        <v>5284</v>
      </c>
      <c r="AJ193" s="113">
        <v>-100000</v>
      </c>
      <c r="AK193" s="99">
        <v>1</v>
      </c>
      <c r="AL193" s="20">
        <f t="shared" si="59"/>
        <v>59</v>
      </c>
      <c r="AM193" s="117">
        <f t="shared" si="60"/>
        <v>-5900000</v>
      </c>
      <c r="AN193" s="20"/>
    </row>
    <row r="194" spans="15:45">
      <c r="Q194" s="168" t="s">
        <v>750</v>
      </c>
      <c r="R194" s="56">
        <v>1753091</v>
      </c>
      <c r="S194" s="113">
        <f>R194*$T$351</f>
        <v>929971971.57637393</v>
      </c>
      <c r="T194" s="168"/>
      <c r="U194" s="168">
        <f>$Q$192*$T$192*S194/$R$221</f>
        <v>359.85771476006488</v>
      </c>
      <c r="V194" s="95">
        <f>S194+U194</f>
        <v>929972331.43408871</v>
      </c>
      <c r="W194" s="99">
        <f>R194*100/U348</f>
        <v>47.981028634675319</v>
      </c>
      <c r="X194" s="217"/>
      <c r="AH194" s="99">
        <v>174</v>
      </c>
      <c r="AI194" s="113" t="s">
        <v>5289</v>
      </c>
      <c r="AJ194" s="113">
        <v>10000000</v>
      </c>
      <c r="AK194" s="99">
        <v>1</v>
      </c>
      <c r="AL194" s="20">
        <f t="shared" si="59"/>
        <v>58</v>
      </c>
      <c r="AM194" s="117">
        <f t="shared" si="60"/>
        <v>580000000</v>
      </c>
      <c r="AN194" s="20" t="s">
        <v>4746</v>
      </c>
      <c r="AS194" t="s">
        <v>25</v>
      </c>
    </row>
    <row r="195" spans="15:45">
      <c r="P195">
        <f>R196-123</f>
        <v>50269</v>
      </c>
      <c r="Q195" s="168" t="s">
        <v>4437</v>
      </c>
      <c r="R195" s="56">
        <v>1612153</v>
      </c>
      <c r="S195" s="113">
        <f>R195*$T$351</f>
        <v>855207803.75506234</v>
      </c>
      <c r="T195" s="168"/>
      <c r="U195" s="213">
        <f>$Q$192*$T$192*S195/$R$221</f>
        <v>330.92731319913395</v>
      </c>
      <c r="V195" s="95">
        <f t="shared" ref="V195:V196" si="61">S195+U195</f>
        <v>855208134.68237555</v>
      </c>
      <c r="W195" s="99">
        <f>R195*100/U348</f>
        <v>44.123641759884521</v>
      </c>
      <c r="X195" s="115"/>
      <c r="AH195" s="99">
        <v>175</v>
      </c>
      <c r="AI195" s="113" t="s">
        <v>5298</v>
      </c>
      <c r="AJ195" s="113">
        <v>-400000</v>
      </c>
      <c r="AK195" s="99">
        <v>6</v>
      </c>
      <c r="AL195" s="20">
        <f t="shared" ref="AL195:AL203" si="62">AL196+AK195</f>
        <v>57</v>
      </c>
      <c r="AM195" s="117">
        <f t="shared" ref="AM195:AM203" si="63">AJ195*AL195</f>
        <v>-22800000</v>
      </c>
      <c r="AN195" s="20"/>
    </row>
    <row r="196" spans="15:45">
      <c r="Q196" s="168" t="s">
        <v>4436</v>
      </c>
      <c r="R196" s="56">
        <v>50392</v>
      </c>
      <c r="S196" s="113">
        <f>R196*$T$351</f>
        <v>26731725.615884535</v>
      </c>
      <c r="T196" s="168"/>
      <c r="U196" s="213">
        <f>$Q$192*$T$192*S196/$R$221</f>
        <v>10.343986685339889</v>
      </c>
      <c r="V196" s="95">
        <f t="shared" si="61"/>
        <v>26731735.959871221</v>
      </c>
      <c r="W196" s="99">
        <f>R196*100/U348</f>
        <v>1.3791982247119852</v>
      </c>
      <c r="X196" s="115"/>
      <c r="AH196" s="99">
        <v>176</v>
      </c>
      <c r="AI196" s="113" t="s">
        <v>5309</v>
      </c>
      <c r="AJ196" s="113">
        <v>1300000</v>
      </c>
      <c r="AK196" s="99">
        <v>0</v>
      </c>
      <c r="AL196" s="20">
        <f t="shared" si="62"/>
        <v>51</v>
      </c>
      <c r="AM196" s="117">
        <f t="shared" si="63"/>
        <v>66300000</v>
      </c>
      <c r="AN196" s="20"/>
      <c r="AR196" t="s">
        <v>25</v>
      </c>
    </row>
    <row r="197" spans="15:45">
      <c r="P197" s="114"/>
      <c r="Q197" s="168" t="s">
        <v>1084</v>
      </c>
      <c r="R197" s="56">
        <v>238081</v>
      </c>
      <c r="S197" s="113">
        <f>R197*$T$351</f>
        <v>126296157.45267911</v>
      </c>
      <c r="T197" s="168"/>
      <c r="U197" s="213">
        <f>$Q$192*$T$192*S197/$R$221</f>
        <v>48.870985355461301</v>
      </c>
      <c r="V197" s="95">
        <f>S197+U197</f>
        <v>126296206.32366447</v>
      </c>
      <c r="W197" s="99">
        <f>R197*100/U348</f>
        <v>6.5161313807281731</v>
      </c>
      <c r="X197" s="115"/>
      <c r="Y197" t="s">
        <v>25</v>
      </c>
      <c r="AH197" s="99">
        <v>177</v>
      </c>
      <c r="AI197" s="113" t="s">
        <v>5309</v>
      </c>
      <c r="AJ197" s="113">
        <v>230000</v>
      </c>
      <c r="AK197" s="99">
        <v>1</v>
      </c>
      <c r="AL197" s="20">
        <f t="shared" si="62"/>
        <v>51</v>
      </c>
      <c r="AM197" s="117">
        <f t="shared" si="63"/>
        <v>11730000</v>
      </c>
      <c r="AN197" s="20"/>
    </row>
    <row r="198" spans="15:45">
      <c r="O198" t="s">
        <v>25</v>
      </c>
      <c r="P198" s="114"/>
      <c r="Q198" s="168"/>
      <c r="R198" s="56"/>
      <c r="S198" s="168"/>
      <c r="T198" s="168"/>
      <c r="U198" s="168"/>
      <c r="V198" s="168"/>
      <c r="W198" s="99"/>
      <c r="X198" s="96"/>
      <c r="AH198" s="99">
        <v>178</v>
      </c>
      <c r="AI198" s="113" t="s">
        <v>5315</v>
      </c>
      <c r="AJ198" s="113">
        <v>880000</v>
      </c>
      <c r="AK198" s="99">
        <v>4</v>
      </c>
      <c r="AL198" s="20">
        <f t="shared" si="62"/>
        <v>50</v>
      </c>
      <c r="AM198" s="117">
        <f t="shared" si="63"/>
        <v>44000000</v>
      </c>
      <c r="AN198" s="20"/>
    </row>
    <row r="199" spans="15:45">
      <c r="P199" s="114"/>
      <c r="Q199" s="168"/>
      <c r="R199" s="168"/>
      <c r="S199" s="168"/>
      <c r="T199" s="168"/>
      <c r="U199" s="168"/>
      <c r="V199" s="168"/>
      <c r="W199" s="99"/>
      <c r="X199" s="96"/>
      <c r="AH199" s="99">
        <v>179</v>
      </c>
      <c r="AI199" s="113" t="s">
        <v>5320</v>
      </c>
      <c r="AJ199" s="113">
        <v>-900000</v>
      </c>
      <c r="AK199" s="99">
        <v>1</v>
      </c>
      <c r="AL199" s="20">
        <f t="shared" si="62"/>
        <v>46</v>
      </c>
      <c r="AM199" s="117">
        <f t="shared" si="63"/>
        <v>-41400000</v>
      </c>
      <c r="AN199" s="20"/>
    </row>
    <row r="200" spans="15:45">
      <c r="P200" s="114"/>
      <c r="Q200" s="99"/>
      <c r="R200" s="99"/>
      <c r="S200" s="99"/>
      <c r="T200" s="99" t="s">
        <v>25</v>
      </c>
      <c r="U200" s="99"/>
      <c r="V200" s="99"/>
      <c r="W200" s="99"/>
      <c r="X200" s="96"/>
      <c r="AH200" s="99">
        <v>180</v>
      </c>
      <c r="AI200" s="113" t="s">
        <v>990</v>
      </c>
      <c r="AJ200" s="113">
        <v>-3500000</v>
      </c>
      <c r="AK200" s="99">
        <v>1</v>
      </c>
      <c r="AL200" s="20">
        <f t="shared" si="62"/>
        <v>45</v>
      </c>
      <c r="AM200" s="117">
        <f t="shared" si="63"/>
        <v>-157500000</v>
      </c>
      <c r="AN200" s="20"/>
      <c r="AR200" t="s">
        <v>25</v>
      </c>
    </row>
    <row r="201" spans="15:45">
      <c r="P201" s="114"/>
      <c r="Q201" s="99"/>
      <c r="R201" s="99"/>
      <c r="S201" s="99"/>
      <c r="T201" s="99"/>
      <c r="U201" s="99"/>
      <c r="V201" s="99"/>
      <c r="W201" s="99"/>
      <c r="X201" s="96"/>
      <c r="AH201" s="99">
        <v>181</v>
      </c>
      <c r="AI201" s="113" t="s">
        <v>4272</v>
      </c>
      <c r="AJ201" s="113">
        <v>-1600000</v>
      </c>
      <c r="AK201" s="99">
        <v>1</v>
      </c>
      <c r="AL201" s="20">
        <f t="shared" si="62"/>
        <v>44</v>
      </c>
      <c r="AM201" s="117">
        <f t="shared" si="63"/>
        <v>-70400000</v>
      </c>
      <c r="AN201" s="20"/>
      <c r="AQ201" t="s">
        <v>25</v>
      </c>
    </row>
    <row r="202" spans="15:45">
      <c r="Q202" s="99"/>
      <c r="R202" s="99"/>
      <c r="S202" s="99"/>
      <c r="T202" s="99"/>
      <c r="U202" s="99"/>
      <c r="V202" s="99"/>
      <c r="W202" s="99"/>
      <c r="X202" s="96"/>
      <c r="AH202" s="99">
        <v>182</v>
      </c>
      <c r="AI202" s="113" t="s">
        <v>5332</v>
      </c>
      <c r="AJ202" s="113">
        <v>-800000</v>
      </c>
      <c r="AK202" s="99">
        <v>7</v>
      </c>
      <c r="AL202" s="20">
        <f t="shared" si="62"/>
        <v>43</v>
      </c>
      <c r="AM202" s="117">
        <f t="shared" si="63"/>
        <v>-34400000</v>
      </c>
      <c r="AN202" s="20"/>
    </row>
    <row r="203" spans="15:45">
      <c r="Q203" s="96"/>
      <c r="R203" s="96"/>
      <c r="S203" s="96"/>
      <c r="T203" s="96"/>
      <c r="V203" s="96"/>
      <c r="X203" s="115"/>
      <c r="AH203" s="99">
        <v>183</v>
      </c>
      <c r="AI203" s="113" t="s">
        <v>5347</v>
      </c>
      <c r="AJ203" s="113">
        <v>50000</v>
      </c>
      <c r="AK203" s="99">
        <v>2</v>
      </c>
      <c r="AL203" s="20">
        <f t="shared" si="62"/>
        <v>36</v>
      </c>
      <c r="AM203" s="117">
        <f t="shared" si="63"/>
        <v>1800000</v>
      </c>
      <c r="AN203" s="20"/>
    </row>
    <row r="204" spans="15:45">
      <c r="P204" s="114"/>
      <c r="Q204" s="99" t="s">
        <v>5034</v>
      </c>
      <c r="R204" s="95">
        <f>S194-R209</f>
        <v>240202581.47637403</v>
      </c>
      <c r="S204" s="96"/>
      <c r="T204" s="96"/>
      <c r="V204" s="96"/>
      <c r="AH204" s="99">
        <v>184</v>
      </c>
      <c r="AI204" s="113" t="s">
        <v>5350</v>
      </c>
      <c r="AJ204" s="113">
        <v>400000</v>
      </c>
      <c r="AK204" s="99">
        <v>8</v>
      </c>
      <c r="AL204" s="20">
        <f t="shared" ref="AL204:AL215" si="64">AL205+AK204</f>
        <v>34</v>
      </c>
      <c r="AM204" s="117">
        <f t="shared" ref="AM204:AM215" si="65">AJ204*AL204</f>
        <v>13600000</v>
      </c>
      <c r="AN204" s="20"/>
      <c r="AR204" t="s">
        <v>25</v>
      </c>
    </row>
    <row r="205" spans="15:45">
      <c r="P205" s="114"/>
      <c r="Q205" s="99" t="s">
        <v>5035</v>
      </c>
      <c r="R205" s="95">
        <f>S197+S196-R210</f>
        <v>12213349.468563646</v>
      </c>
      <c r="S205" s="96"/>
      <c r="T205" s="96" t="s">
        <v>25</v>
      </c>
      <c r="V205" s="96"/>
      <c r="AH205" s="99">
        <v>185</v>
      </c>
      <c r="AI205" s="113" t="s">
        <v>5307</v>
      </c>
      <c r="AJ205" s="113">
        <v>-10000000</v>
      </c>
      <c r="AK205" s="99">
        <v>0</v>
      </c>
      <c r="AL205" s="20">
        <f t="shared" si="64"/>
        <v>26</v>
      </c>
      <c r="AM205" s="117">
        <f t="shared" si="65"/>
        <v>-260000000</v>
      </c>
      <c r="AN205" s="20" t="s">
        <v>5092</v>
      </c>
    </row>
    <row r="206" spans="15:45">
      <c r="Q206" s="96"/>
      <c r="R206" s="96"/>
      <c r="S206" s="96"/>
      <c r="T206" s="96"/>
      <c r="V206" s="96"/>
      <c r="AH206" s="99">
        <v>186</v>
      </c>
      <c r="AI206" s="113" t="s">
        <v>5307</v>
      </c>
      <c r="AJ206" s="113">
        <v>3000000</v>
      </c>
      <c r="AK206" s="99">
        <v>1</v>
      </c>
      <c r="AL206" s="20">
        <f t="shared" si="64"/>
        <v>26</v>
      </c>
      <c r="AM206" s="117">
        <f t="shared" si="65"/>
        <v>78000000</v>
      </c>
      <c r="AN206" s="20"/>
    </row>
    <row r="207" spans="15:45">
      <c r="P207" s="114"/>
      <c r="Q207" s="96"/>
      <c r="R207" s="96"/>
      <c r="S207" s="96"/>
      <c r="T207" s="99" t="s">
        <v>180</v>
      </c>
      <c r="U207" s="99" t="s">
        <v>4470</v>
      </c>
      <c r="V207" s="99" t="s">
        <v>4471</v>
      </c>
      <c r="W207" s="99" t="s">
        <v>4481</v>
      </c>
      <c r="X207" s="99" t="s">
        <v>8</v>
      </c>
      <c r="AH207" s="99">
        <v>187</v>
      </c>
      <c r="AI207" s="113" t="s">
        <v>5369</v>
      </c>
      <c r="AJ207" s="113">
        <v>500000</v>
      </c>
      <c r="AK207" s="99">
        <v>23</v>
      </c>
      <c r="AL207" s="20">
        <f t="shared" si="64"/>
        <v>25</v>
      </c>
      <c r="AM207" s="117">
        <f t="shared" si="65"/>
        <v>12500000</v>
      </c>
      <c r="AN207" s="20"/>
      <c r="AR207" t="s">
        <v>25</v>
      </c>
    </row>
    <row r="208" spans="15:45">
      <c r="Q208" s="36" t="s">
        <v>4556</v>
      </c>
      <c r="R208" s="95">
        <f>SUM(N44:N49)</f>
        <v>1103373049.7</v>
      </c>
      <c r="T208" s="113" t="s">
        <v>4447</v>
      </c>
      <c r="U208" s="56">
        <v>1000000</v>
      </c>
      <c r="V208" s="113">
        <v>239.024</v>
      </c>
      <c r="W208" s="113">
        <f t="shared" ref="W208:W309" si="66">U208*V208</f>
        <v>239024000</v>
      </c>
      <c r="X208" s="99"/>
      <c r="AH208" s="99">
        <v>188</v>
      </c>
      <c r="AI208" s="113" t="s">
        <v>5397</v>
      </c>
      <c r="AJ208" s="113">
        <v>101268</v>
      </c>
      <c r="AK208" s="99">
        <v>1</v>
      </c>
      <c r="AL208" s="20">
        <f t="shared" si="64"/>
        <v>2</v>
      </c>
      <c r="AM208" s="117">
        <f t="shared" si="65"/>
        <v>202536</v>
      </c>
      <c r="AN208" s="20"/>
      <c r="AR208" t="s">
        <v>25</v>
      </c>
    </row>
    <row r="209" spans="16:45">
      <c r="Q209" s="99" t="s">
        <v>4438</v>
      </c>
      <c r="R209" s="95">
        <f>SUM(N21:N25)</f>
        <v>689769390.0999999</v>
      </c>
      <c r="T209" s="168" t="s">
        <v>4429</v>
      </c>
      <c r="U209" s="56">
        <v>5904</v>
      </c>
      <c r="V209" s="113">
        <v>237.148</v>
      </c>
      <c r="W209" s="113">
        <f t="shared" si="66"/>
        <v>1400121.7919999999</v>
      </c>
      <c r="X209" s="99" t="s">
        <v>750</v>
      </c>
      <c r="AH209" s="99">
        <v>189</v>
      </c>
      <c r="AI209" s="113" t="s">
        <v>5400</v>
      </c>
      <c r="AJ209" s="113">
        <v>101000</v>
      </c>
      <c r="AK209" s="99">
        <v>1</v>
      </c>
      <c r="AL209" s="20">
        <f t="shared" si="64"/>
        <v>1</v>
      </c>
      <c r="AM209" s="117">
        <f t="shared" si="65"/>
        <v>101000</v>
      </c>
      <c r="AN209" s="20"/>
      <c r="AP209" t="s">
        <v>25</v>
      </c>
    </row>
    <row r="210" spans="16:45">
      <c r="P210" s="114"/>
      <c r="Q210" s="99" t="s">
        <v>4439</v>
      </c>
      <c r="R210" s="95">
        <f>SUM(N28:N31)</f>
        <v>140814533.59999999</v>
      </c>
      <c r="T210" s="168" t="s">
        <v>4223</v>
      </c>
      <c r="U210" s="168">
        <v>1000</v>
      </c>
      <c r="V210" s="113">
        <v>247.393</v>
      </c>
      <c r="W210" s="113">
        <f t="shared" si="66"/>
        <v>247393</v>
      </c>
      <c r="X210" s="99" t="s">
        <v>750</v>
      </c>
      <c r="Z210" t="s">
        <v>25</v>
      </c>
      <c r="AH210" s="99"/>
      <c r="AI210" s="113"/>
      <c r="AJ210" s="113"/>
      <c r="AK210" s="99"/>
      <c r="AL210" s="20">
        <f t="shared" si="64"/>
        <v>0</v>
      </c>
      <c r="AM210" s="117">
        <f t="shared" si="65"/>
        <v>0</v>
      </c>
      <c r="AN210" s="20"/>
      <c r="AR210" t="s">
        <v>25</v>
      </c>
    </row>
    <row r="211" spans="16:45">
      <c r="Q211" s="99" t="s">
        <v>4440</v>
      </c>
      <c r="R211" s="95">
        <f>N42</f>
        <v>59</v>
      </c>
      <c r="T211" s="168" t="s">
        <v>4482</v>
      </c>
      <c r="U211" s="168">
        <v>8071</v>
      </c>
      <c r="V211" s="113">
        <v>247.797</v>
      </c>
      <c r="W211" s="113">
        <f t="shared" si="66"/>
        <v>1999969.5870000001</v>
      </c>
      <c r="X211" s="99" t="s">
        <v>4436</v>
      </c>
      <c r="AH211" s="99"/>
      <c r="AI211" s="113"/>
      <c r="AJ211" s="113"/>
      <c r="AK211" s="99"/>
      <c r="AL211" s="20">
        <f t="shared" si="64"/>
        <v>0</v>
      </c>
      <c r="AM211" s="117">
        <f t="shared" si="65"/>
        <v>0</v>
      </c>
      <c r="AN211" s="20"/>
      <c r="AR211" t="s">
        <v>25</v>
      </c>
    </row>
    <row r="212" spans="16:45">
      <c r="Q212" s="99" t="s">
        <v>4441</v>
      </c>
      <c r="R212" s="95">
        <f>N20</f>
        <v>3743</v>
      </c>
      <c r="T212" s="168" t="s">
        <v>4482</v>
      </c>
      <c r="U212" s="168">
        <v>53672</v>
      </c>
      <c r="V212" s="113">
        <v>247.797</v>
      </c>
      <c r="W212" s="113">
        <f t="shared" si="66"/>
        <v>13299760.584000001</v>
      </c>
      <c r="X212" s="99" t="s">
        <v>452</v>
      </c>
      <c r="AH212" s="99"/>
      <c r="AI212" s="113"/>
      <c r="AJ212" s="113"/>
      <c r="AK212" s="99"/>
      <c r="AL212" s="20">
        <f t="shared" si="64"/>
        <v>0</v>
      </c>
      <c r="AM212" s="117">
        <f t="shared" si="65"/>
        <v>0</v>
      </c>
      <c r="AN212" s="20"/>
      <c r="AS212" t="s">
        <v>25</v>
      </c>
    </row>
    <row r="213" spans="16:45">
      <c r="Q213" s="99" t="s">
        <v>4442</v>
      </c>
      <c r="R213" s="95">
        <f>N27</f>
        <v>4749</v>
      </c>
      <c r="T213" s="168" t="s">
        <v>4490</v>
      </c>
      <c r="U213" s="168">
        <v>4099</v>
      </c>
      <c r="V213" s="113">
        <v>243.93</v>
      </c>
      <c r="W213" s="113">
        <f t="shared" si="66"/>
        <v>999869.07000000007</v>
      </c>
      <c r="X213" s="99" t="s">
        <v>4436</v>
      </c>
      <c r="AH213" s="99"/>
      <c r="AI213" s="113"/>
      <c r="AJ213" s="113"/>
      <c r="AK213" s="99"/>
      <c r="AL213" s="20">
        <f t="shared" si="64"/>
        <v>0</v>
      </c>
      <c r="AM213" s="117">
        <f t="shared" si="65"/>
        <v>0</v>
      </c>
      <c r="AN213" s="20"/>
      <c r="AR213" t="s">
        <v>25</v>
      </c>
    </row>
    <row r="214" spans="16:45">
      <c r="Q214" s="99" t="s">
        <v>5324</v>
      </c>
      <c r="R214" s="95">
        <v>0</v>
      </c>
      <c r="T214" s="168" t="s">
        <v>4490</v>
      </c>
      <c r="U214" s="168">
        <v>9301</v>
      </c>
      <c r="V214" s="113">
        <v>243.93</v>
      </c>
      <c r="W214" s="113">
        <f t="shared" si="66"/>
        <v>2268792.9300000002</v>
      </c>
      <c r="X214" s="99" t="s">
        <v>452</v>
      </c>
      <c r="AH214" s="99"/>
      <c r="AI214" s="113"/>
      <c r="AJ214" s="113"/>
      <c r="AK214" s="99"/>
      <c r="AL214" s="20">
        <f t="shared" si="64"/>
        <v>0</v>
      </c>
      <c r="AM214" s="117">
        <f t="shared" si="65"/>
        <v>0</v>
      </c>
      <c r="AN214" s="20"/>
      <c r="AQ214" t="s">
        <v>25</v>
      </c>
    </row>
    <row r="215" spans="16:45">
      <c r="P215" s="114"/>
      <c r="Q215" s="99" t="s">
        <v>4911</v>
      </c>
      <c r="R215" s="95">
        <v>4242134</v>
      </c>
      <c r="T215" s="168" t="s">
        <v>4496</v>
      </c>
      <c r="U215" s="168">
        <v>8334</v>
      </c>
      <c r="V215" s="113">
        <v>239.97</v>
      </c>
      <c r="W215" s="113">
        <f t="shared" si="66"/>
        <v>1999909.98</v>
      </c>
      <c r="X215" s="99" t="s">
        <v>4436</v>
      </c>
      <c r="AH215" s="99"/>
      <c r="AI215" s="113"/>
      <c r="AJ215" s="113"/>
      <c r="AK215" s="99"/>
      <c r="AL215" s="20">
        <f t="shared" si="64"/>
        <v>0</v>
      </c>
      <c r="AM215" s="117">
        <f t="shared" si="65"/>
        <v>0</v>
      </c>
      <c r="AN215" s="20"/>
    </row>
    <row r="216" spans="16:45">
      <c r="P216" s="114"/>
      <c r="Q216" s="99" t="s">
        <v>5206</v>
      </c>
      <c r="R216" s="95">
        <v>0</v>
      </c>
      <c r="T216" s="168" t="s">
        <v>4222</v>
      </c>
      <c r="U216" s="168">
        <v>29041</v>
      </c>
      <c r="V216" s="113">
        <v>233.45</v>
      </c>
      <c r="W216" s="113">
        <f t="shared" si="66"/>
        <v>6779621.4499999993</v>
      </c>
      <c r="X216" s="99" t="s">
        <v>750</v>
      </c>
      <c r="AH216" s="99"/>
      <c r="AI216" s="113"/>
      <c r="AJ216" s="113"/>
      <c r="AK216" s="99"/>
      <c r="AL216" s="20">
        <f t="shared" si="59"/>
        <v>0</v>
      </c>
      <c r="AM216" s="117">
        <f t="shared" si="60"/>
        <v>0</v>
      </c>
      <c r="AN216" s="20"/>
    </row>
    <row r="217" spans="16:45">
      <c r="P217" s="114"/>
      <c r="Q217" s="99"/>
      <c r="R217" s="95"/>
      <c r="S217" s="115"/>
      <c r="T217" s="168" t="s">
        <v>992</v>
      </c>
      <c r="U217" s="168">
        <v>12337</v>
      </c>
      <c r="V217" s="113">
        <v>243.16300000000001</v>
      </c>
      <c r="W217" s="113">
        <f t="shared" si="66"/>
        <v>2999901.9310000003</v>
      </c>
      <c r="X217" s="99" t="s">
        <v>4436</v>
      </c>
      <c r="AH217" s="99"/>
      <c r="AI217" s="99"/>
      <c r="AJ217" s="95">
        <f>SUM(AJ20:AJ216)</f>
        <v>491032327</v>
      </c>
      <c r="AK217" s="99"/>
      <c r="AL217" s="99"/>
      <c r="AM217" s="95">
        <f>SUM(AM20:AM216)</f>
        <v>189944510392</v>
      </c>
      <c r="AN217" s="95">
        <f>AM217*AN220/31</f>
        <v>102122746.92591819</v>
      </c>
    </row>
    <row r="218" spans="16:45">
      <c r="P218" s="114"/>
      <c r="Q218" s="99"/>
      <c r="R218" s="95"/>
      <c r="S218" s="122"/>
      <c r="T218" s="168" t="s">
        <v>4577</v>
      </c>
      <c r="U218" s="168">
        <v>-16118</v>
      </c>
      <c r="V218" s="113">
        <v>248.17</v>
      </c>
      <c r="W218" s="113">
        <f t="shared" si="66"/>
        <v>-4000004.0599999996</v>
      </c>
      <c r="X218" s="99" t="s">
        <v>750</v>
      </c>
      <c r="AH218" s="99"/>
      <c r="AI218" s="99"/>
      <c r="AJ218" s="99" t="s">
        <v>4056</v>
      </c>
      <c r="AK218" s="99"/>
      <c r="AL218" s="99"/>
      <c r="AM218" s="99" t="s">
        <v>284</v>
      </c>
      <c r="AN218" s="99" t="s">
        <v>941</v>
      </c>
      <c r="AS218" t="s">
        <v>25</v>
      </c>
    </row>
    <row r="219" spans="16:45">
      <c r="P219" s="114"/>
      <c r="Q219" s="99"/>
      <c r="R219" s="95"/>
      <c r="S219" s="115"/>
      <c r="T219" s="168" t="s">
        <v>4605</v>
      </c>
      <c r="U219" s="168">
        <v>101681</v>
      </c>
      <c r="V219" s="113">
        <v>246.5711</v>
      </c>
      <c r="W219" s="113">
        <f t="shared" si="66"/>
        <v>25071596.019099999</v>
      </c>
      <c r="X219" s="99" t="s">
        <v>452</v>
      </c>
      <c r="AH219" s="99"/>
      <c r="AI219" s="99"/>
      <c r="AJ219" s="99"/>
      <c r="AK219" s="99"/>
      <c r="AL219" s="99"/>
      <c r="AM219" s="99"/>
      <c r="AN219" s="99"/>
    </row>
    <row r="220" spans="16:45">
      <c r="Q220" s="99" t="s">
        <v>5207</v>
      </c>
      <c r="R220" s="95">
        <v>0</v>
      </c>
      <c r="S220" s="115"/>
      <c r="T220" s="168" t="s">
        <v>4609</v>
      </c>
      <c r="U220" s="168">
        <v>66606</v>
      </c>
      <c r="V220" s="113">
        <v>251.131</v>
      </c>
      <c r="W220" s="113">
        <f t="shared" si="66"/>
        <v>16726831.386</v>
      </c>
      <c r="X220" s="99" t="s">
        <v>750</v>
      </c>
      <c r="AH220" s="99"/>
      <c r="AI220" s="99"/>
      <c r="AJ220" s="99"/>
      <c r="AK220" s="99"/>
      <c r="AL220" s="99"/>
      <c r="AM220" s="99" t="s">
        <v>4057</v>
      </c>
      <c r="AN220" s="99">
        <v>1.6667000000000001E-2</v>
      </c>
    </row>
    <row r="221" spans="16:45">
      <c r="Q221" s="99" t="s">
        <v>4446</v>
      </c>
      <c r="R221" s="95">
        <f>SUM(R208:R220)</f>
        <v>1938207658.3999999</v>
      </c>
      <c r="T221" s="168" t="s">
        <v>4614</v>
      </c>
      <c r="U221" s="168">
        <v>172025</v>
      </c>
      <c r="V221" s="113">
        <v>245.52809999999999</v>
      </c>
      <c r="W221" s="113">
        <f t="shared" si="66"/>
        <v>42236971.402499996</v>
      </c>
      <c r="X221" s="99" t="s">
        <v>452</v>
      </c>
      <c r="AH221" s="99"/>
      <c r="AI221" s="99"/>
      <c r="AJ221" s="99"/>
      <c r="AK221" s="99"/>
      <c r="AL221" s="99"/>
      <c r="AM221" s="99"/>
      <c r="AN221" s="99"/>
    </row>
    <row r="222" spans="16:45">
      <c r="Q222" s="96"/>
      <c r="T222" s="168" t="s">
        <v>4614</v>
      </c>
      <c r="U222" s="168">
        <v>189227</v>
      </c>
      <c r="V222" s="113">
        <v>245.52809999999999</v>
      </c>
      <c r="W222" s="113">
        <f t="shared" si="66"/>
        <v>46460545.778700002</v>
      </c>
      <c r="X222" s="99" t="s">
        <v>750</v>
      </c>
      <c r="AH222" s="99"/>
      <c r="AI222" s="99" t="s">
        <v>4058</v>
      </c>
      <c r="AJ222" s="95">
        <f>AJ217+AN217</f>
        <v>593155073.92591822</v>
      </c>
      <c r="AK222" s="99"/>
      <c r="AL222" s="99"/>
      <c r="AM222" s="99"/>
      <c r="AN222" s="99"/>
    </row>
    <row r="223" spans="16:45">
      <c r="T223" s="168" t="s">
        <v>4615</v>
      </c>
      <c r="U223" s="168">
        <v>79720</v>
      </c>
      <c r="V223" s="113">
        <v>246.6568</v>
      </c>
      <c r="W223" s="113">
        <f t="shared" si="66"/>
        <v>19663480.096000001</v>
      </c>
      <c r="X223" s="99" t="s">
        <v>452</v>
      </c>
      <c r="AI223" t="s">
        <v>4061</v>
      </c>
      <c r="AJ223" s="114">
        <f>SUM(N42:N49)</f>
        <v>1103373108.7</v>
      </c>
      <c r="AM223" t="s">
        <v>25</v>
      </c>
    </row>
    <row r="224" spans="16:45">
      <c r="Q224" s="99" t="s">
        <v>8</v>
      </c>
      <c r="R224" s="99" t="s">
        <v>4436</v>
      </c>
      <c r="S224" s="99"/>
      <c r="T224" s="168" t="s">
        <v>4615</v>
      </c>
      <c r="U224" s="168">
        <v>79720</v>
      </c>
      <c r="V224" s="113">
        <v>246.6568</v>
      </c>
      <c r="W224" s="113">
        <f t="shared" si="66"/>
        <v>19663480.096000001</v>
      </c>
      <c r="X224" s="99" t="s">
        <v>750</v>
      </c>
      <c r="Z224" t="s">
        <v>25</v>
      </c>
      <c r="AI224" t="s">
        <v>4133</v>
      </c>
      <c r="AJ224" s="114">
        <f>AJ223-AJ217</f>
        <v>612340781.70000005</v>
      </c>
      <c r="AM224" t="s">
        <v>25</v>
      </c>
    </row>
    <row r="225" spans="17:44">
      <c r="Q225" s="99"/>
      <c r="R225" s="36" t="s">
        <v>180</v>
      </c>
      <c r="S225" s="99" t="s">
        <v>267</v>
      </c>
      <c r="T225" s="168" t="s">
        <v>4639</v>
      </c>
      <c r="U225" s="168">
        <v>17769</v>
      </c>
      <c r="V225" s="113">
        <v>246.17877999999999</v>
      </c>
      <c r="W225" s="113">
        <f t="shared" si="66"/>
        <v>4374350.7418200001</v>
      </c>
      <c r="X225" s="99" t="s">
        <v>750</v>
      </c>
      <c r="AI225" t="s">
        <v>941</v>
      </c>
      <c r="AJ225" s="114">
        <f>AN217</f>
        <v>102122746.92591819</v>
      </c>
      <c r="AN225" t="s">
        <v>25</v>
      </c>
    </row>
    <row r="226" spans="17:44">
      <c r="Q226" s="99"/>
      <c r="R226" s="99" t="s">
        <v>4429</v>
      </c>
      <c r="S226" s="95">
        <v>3000000</v>
      </c>
      <c r="T226" s="168" t="s">
        <v>4639</v>
      </c>
      <c r="U226" s="168">
        <v>17769</v>
      </c>
      <c r="V226" s="113">
        <v>246.17877999999999</v>
      </c>
      <c r="W226" s="113">
        <f t="shared" si="66"/>
        <v>4374350.7418200001</v>
      </c>
      <c r="X226" s="99" t="s">
        <v>452</v>
      </c>
      <c r="Y226" t="s">
        <v>25</v>
      </c>
      <c r="AI226" t="s">
        <v>4062</v>
      </c>
      <c r="AJ226" s="114">
        <f>AJ223-AJ222</f>
        <v>510218034.77408183</v>
      </c>
      <c r="AN226" t="s">
        <v>25</v>
      </c>
    </row>
    <row r="227" spans="17:44">
      <c r="Q227" s="99"/>
      <c r="R227" s="99" t="s">
        <v>4482</v>
      </c>
      <c r="S227" s="95">
        <v>2000000</v>
      </c>
      <c r="T227" s="168" t="s">
        <v>4642</v>
      </c>
      <c r="U227" s="168">
        <v>12438</v>
      </c>
      <c r="V227" s="113">
        <v>241.20465999999999</v>
      </c>
      <c r="W227" s="113">
        <f t="shared" si="66"/>
        <v>3000103.5610799999</v>
      </c>
      <c r="X227" s="99" t="s">
        <v>4436</v>
      </c>
      <c r="AM227" t="s">
        <v>25</v>
      </c>
    </row>
    <row r="228" spans="17:44">
      <c r="Q228" s="99"/>
      <c r="R228" s="99" t="s">
        <v>4490</v>
      </c>
      <c r="S228" s="95">
        <v>1000000</v>
      </c>
      <c r="T228" s="168" t="s">
        <v>4651</v>
      </c>
      <c r="U228" s="168">
        <v>27363</v>
      </c>
      <c r="V228" s="113">
        <v>239.3886</v>
      </c>
      <c r="W228" s="113">
        <f t="shared" si="66"/>
        <v>6550390.2617999995</v>
      </c>
      <c r="X228" s="99" t="s">
        <v>750</v>
      </c>
      <c r="Y228" s="96"/>
      <c r="AJ228" t="s">
        <v>25</v>
      </c>
    </row>
    <row r="229" spans="17:44">
      <c r="Q229" s="99"/>
      <c r="R229" s="99" t="s">
        <v>4496</v>
      </c>
      <c r="S229" s="95">
        <v>2000000</v>
      </c>
      <c r="T229" s="168" t="s">
        <v>4651</v>
      </c>
      <c r="U229" s="168">
        <v>27363</v>
      </c>
      <c r="V229" s="113">
        <v>239.3886</v>
      </c>
      <c r="W229" s="113">
        <f t="shared" si="66"/>
        <v>6550390.2617999995</v>
      </c>
      <c r="X229" s="99" t="s">
        <v>452</v>
      </c>
      <c r="Y229" t="s">
        <v>25</v>
      </c>
    </row>
    <row r="230" spans="17:44">
      <c r="Q230" s="99"/>
      <c r="R230" s="99" t="s">
        <v>992</v>
      </c>
      <c r="S230" s="95">
        <v>3000000</v>
      </c>
      <c r="T230" s="210" t="s">
        <v>4653</v>
      </c>
      <c r="U230" s="210">
        <v>27437</v>
      </c>
      <c r="V230" s="113">
        <v>242.4015</v>
      </c>
      <c r="W230" s="113">
        <f t="shared" si="66"/>
        <v>6650769.9555000002</v>
      </c>
      <c r="X230" s="99" t="s">
        <v>750</v>
      </c>
      <c r="AQ230" t="s">
        <v>25</v>
      </c>
    </row>
    <row r="231" spans="17:44">
      <c r="Q231" s="99"/>
      <c r="R231" s="99" t="s">
        <v>4642</v>
      </c>
      <c r="S231" s="95">
        <v>3000000</v>
      </c>
      <c r="T231" s="210" t="s">
        <v>4653</v>
      </c>
      <c r="U231" s="210">
        <v>29104</v>
      </c>
      <c r="V231" s="113">
        <v>242.4015</v>
      </c>
      <c r="W231" s="113">
        <f t="shared" si="66"/>
        <v>7054853.2560000001</v>
      </c>
      <c r="X231" s="99" t="s">
        <v>452</v>
      </c>
    </row>
    <row r="232" spans="17:44">
      <c r="Q232" s="99" t="s">
        <v>4830</v>
      </c>
      <c r="R232" s="99" t="s">
        <v>4825</v>
      </c>
      <c r="S232" s="95">
        <v>-800000</v>
      </c>
      <c r="T232" s="213" t="s">
        <v>4676</v>
      </c>
      <c r="U232" s="213">
        <v>8991</v>
      </c>
      <c r="V232" s="113">
        <v>238.64867000000001</v>
      </c>
      <c r="W232" s="113">
        <f t="shared" si="66"/>
        <v>2145690.19197</v>
      </c>
      <c r="X232" s="99" t="s">
        <v>750</v>
      </c>
    </row>
    <row r="233" spans="17:44">
      <c r="Q233" s="99" t="s">
        <v>4831</v>
      </c>
      <c r="R233" s="99" t="s">
        <v>4825</v>
      </c>
      <c r="S233" s="95">
        <v>-900000</v>
      </c>
      <c r="T233" s="213" t="s">
        <v>4676</v>
      </c>
      <c r="U233" s="213">
        <v>8991</v>
      </c>
      <c r="V233" s="113">
        <v>238.64867000000001</v>
      </c>
      <c r="W233" s="113">
        <f t="shared" si="66"/>
        <v>2145690.19197</v>
      </c>
      <c r="X233" s="99" t="s">
        <v>452</v>
      </c>
      <c r="Y233" t="s">
        <v>25</v>
      </c>
      <c r="AH233" s="99" t="s">
        <v>3638</v>
      </c>
      <c r="AI233" s="99" t="s">
        <v>180</v>
      </c>
      <c r="AJ233" s="99" t="s">
        <v>267</v>
      </c>
      <c r="AK233" s="99" t="s">
        <v>4055</v>
      </c>
      <c r="AL233" s="99" t="s">
        <v>4047</v>
      </c>
      <c r="AM233" s="99" t="s">
        <v>282</v>
      </c>
      <c r="AN233" s="99" t="s">
        <v>4284</v>
      </c>
    </row>
    <row r="234" spans="17:44">
      <c r="Q234" s="99" t="s">
        <v>4831</v>
      </c>
      <c r="R234" s="99" t="s">
        <v>979</v>
      </c>
      <c r="S234" s="95">
        <v>-1100000</v>
      </c>
      <c r="T234" s="213" t="s">
        <v>4687</v>
      </c>
      <c r="U234" s="213">
        <v>18170</v>
      </c>
      <c r="V234" s="113">
        <v>240.48475999999999</v>
      </c>
      <c r="W234" s="113">
        <f t="shared" si="66"/>
        <v>4369608.0892000003</v>
      </c>
      <c r="X234" s="99" t="s">
        <v>750</v>
      </c>
      <c r="AH234" s="99">
        <v>1</v>
      </c>
      <c r="AI234" s="99" t="s">
        <v>3946</v>
      </c>
      <c r="AJ234" s="117">
        <v>3555820</v>
      </c>
      <c r="AK234" s="99">
        <v>2</v>
      </c>
      <c r="AL234" s="99">
        <f>AK234+AL235</f>
        <v>479</v>
      </c>
      <c r="AM234" s="99">
        <f>AJ234*AL234</f>
        <v>1703237780</v>
      </c>
      <c r="AN234" s="99" t="s">
        <v>4304</v>
      </c>
    </row>
    <row r="235" spans="17:44">
      <c r="Q235" s="195" t="s">
        <v>1084</v>
      </c>
      <c r="R235" s="195" t="s">
        <v>4854</v>
      </c>
      <c r="S235" s="241">
        <v>30000000</v>
      </c>
      <c r="T235" s="213" t="s">
        <v>4687</v>
      </c>
      <c r="U235" s="213">
        <v>18170</v>
      </c>
      <c r="V235" s="113">
        <v>240.48475999999999</v>
      </c>
      <c r="W235" s="113">
        <f t="shared" si="66"/>
        <v>4369608.0892000003</v>
      </c>
      <c r="X235" s="99" t="s">
        <v>452</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20" t="s">
        <v>4939</v>
      </c>
      <c r="R236" s="20" t="s">
        <v>4937</v>
      </c>
      <c r="S236" s="246">
        <v>2000000</v>
      </c>
      <c r="T236" s="213" t="s">
        <v>4689</v>
      </c>
      <c r="U236" s="213">
        <v>36797</v>
      </c>
      <c r="V236" s="113">
        <v>239.0822</v>
      </c>
      <c r="W236" s="113">
        <f t="shared" si="66"/>
        <v>8797507.7134000007</v>
      </c>
      <c r="X236" s="99" t="s">
        <v>750</v>
      </c>
      <c r="AH236" s="99">
        <v>3</v>
      </c>
      <c r="AI236" s="99" t="s">
        <v>4127</v>
      </c>
      <c r="AJ236" s="117">
        <v>150000</v>
      </c>
      <c r="AK236" s="99">
        <v>3</v>
      </c>
      <c r="AL236" s="99">
        <f t="shared" si="67"/>
        <v>426</v>
      </c>
      <c r="AM236" s="99">
        <f t="shared" si="68"/>
        <v>63900000</v>
      </c>
      <c r="AN236" s="99"/>
    </row>
    <row r="237" spans="17:44">
      <c r="Q237" s="149" t="s">
        <v>4964</v>
      </c>
      <c r="R237" s="149" t="s">
        <v>4963</v>
      </c>
      <c r="S237" s="150">
        <v>480105</v>
      </c>
      <c r="T237" s="213" t="s">
        <v>4689</v>
      </c>
      <c r="U237" s="213">
        <v>36797</v>
      </c>
      <c r="V237" s="113">
        <v>239.0822</v>
      </c>
      <c r="W237" s="113">
        <f t="shared" si="66"/>
        <v>8797507.7134000007</v>
      </c>
      <c r="X237" s="99" t="s">
        <v>452</v>
      </c>
      <c r="Y237" t="s">
        <v>25</v>
      </c>
      <c r="AH237" s="99">
        <v>4</v>
      </c>
      <c r="AI237" s="99" t="s">
        <v>4142</v>
      </c>
      <c r="AJ237" s="117">
        <v>-95000</v>
      </c>
      <c r="AK237" s="99">
        <v>8</v>
      </c>
      <c r="AL237" s="99">
        <f t="shared" si="67"/>
        <v>423</v>
      </c>
      <c r="AM237" s="99">
        <f t="shared" si="68"/>
        <v>-40185000</v>
      </c>
      <c r="AN237" s="99"/>
    </row>
    <row r="238" spans="17:44">
      <c r="Q238" s="149"/>
      <c r="R238" s="149" t="s">
        <v>5016</v>
      </c>
      <c r="S238" s="150">
        <v>30500000</v>
      </c>
      <c r="T238" s="213" t="s">
        <v>4698</v>
      </c>
      <c r="U238" s="213">
        <v>28066</v>
      </c>
      <c r="V238" s="113">
        <v>237.56970000000001</v>
      </c>
      <c r="W238" s="113">
        <f t="shared" si="66"/>
        <v>6667631.2002000008</v>
      </c>
      <c r="X238" s="99" t="s">
        <v>750</v>
      </c>
      <c r="AH238" s="99">
        <v>5</v>
      </c>
      <c r="AI238" s="99" t="s">
        <v>4167</v>
      </c>
      <c r="AJ238" s="117">
        <v>3150000</v>
      </c>
      <c r="AK238" s="99">
        <v>16</v>
      </c>
      <c r="AL238" s="99">
        <f t="shared" si="67"/>
        <v>415</v>
      </c>
      <c r="AM238" s="99">
        <f t="shared" si="68"/>
        <v>1307250000</v>
      </c>
      <c r="AN238" s="99"/>
      <c r="AR238" t="s">
        <v>25</v>
      </c>
    </row>
    <row r="239" spans="17:44">
      <c r="Q239" s="20" t="s">
        <v>5061</v>
      </c>
      <c r="R239" s="20" t="s">
        <v>5056</v>
      </c>
      <c r="S239" s="246">
        <v>-400000</v>
      </c>
      <c r="T239" s="213" t="s">
        <v>4698</v>
      </c>
      <c r="U239" s="213">
        <v>28066</v>
      </c>
      <c r="V239" s="113">
        <v>237.56970000000001</v>
      </c>
      <c r="W239" s="113">
        <f t="shared" si="66"/>
        <v>6667631.2002000008</v>
      </c>
      <c r="X239" s="99" t="s">
        <v>452</v>
      </c>
      <c r="AH239" s="99">
        <v>6</v>
      </c>
      <c r="AI239" s="99" t="s">
        <v>4232</v>
      </c>
      <c r="AJ239" s="117">
        <v>-65000</v>
      </c>
      <c r="AK239" s="99">
        <v>1</v>
      </c>
      <c r="AL239" s="99">
        <f t="shared" si="67"/>
        <v>399</v>
      </c>
      <c r="AM239" s="99">
        <f t="shared" si="68"/>
        <v>-25935000</v>
      </c>
      <c r="AN239" s="99"/>
      <c r="AR239" t="s">
        <v>25</v>
      </c>
    </row>
    <row r="240" spans="17:44">
      <c r="Q240" s="149" t="s">
        <v>5202</v>
      </c>
      <c r="R240" s="149" t="s">
        <v>5099</v>
      </c>
      <c r="S240" s="150">
        <v>-349550</v>
      </c>
      <c r="T240" s="213" t="s">
        <v>3681</v>
      </c>
      <c r="U240" s="213">
        <v>37457</v>
      </c>
      <c r="V240" s="113">
        <v>239.77</v>
      </c>
      <c r="W240" s="113">
        <f t="shared" si="66"/>
        <v>8981064.8900000006</v>
      </c>
      <c r="X240" s="99" t="s">
        <v>750</v>
      </c>
      <c r="AH240" s="99">
        <v>7</v>
      </c>
      <c r="AI240" s="99" t="s">
        <v>4306</v>
      </c>
      <c r="AJ240" s="117">
        <v>-95000</v>
      </c>
      <c r="AK240" s="99">
        <v>6</v>
      </c>
      <c r="AL240" s="99">
        <f t="shared" si="67"/>
        <v>398</v>
      </c>
      <c r="AM240" s="99">
        <f t="shared" si="68"/>
        <v>-37810000</v>
      </c>
      <c r="AN240" s="99"/>
    </row>
    <row r="241" spans="16:43">
      <c r="Q241" s="149" t="s">
        <v>5242</v>
      </c>
      <c r="R241" s="149" t="s">
        <v>5238</v>
      </c>
      <c r="S241" s="150">
        <v>11500000</v>
      </c>
      <c r="T241" s="213" t="s">
        <v>3681</v>
      </c>
      <c r="U241" s="213">
        <v>37457</v>
      </c>
      <c r="V241" s="113">
        <v>239.77</v>
      </c>
      <c r="W241" s="113">
        <f t="shared" si="66"/>
        <v>8981064.8900000006</v>
      </c>
      <c r="X241" s="99" t="s">
        <v>452</v>
      </c>
      <c r="AH241" s="99">
        <v>8</v>
      </c>
      <c r="AI241" s="99" t="s">
        <v>4307</v>
      </c>
      <c r="AJ241" s="117">
        <v>232000</v>
      </c>
      <c r="AK241" s="99">
        <v>7</v>
      </c>
      <c r="AL241" s="99">
        <f t="shared" si="67"/>
        <v>392</v>
      </c>
      <c r="AM241" s="99">
        <f t="shared" si="68"/>
        <v>90944000</v>
      </c>
      <c r="AN241" s="99"/>
    </row>
    <row r="242" spans="16:43">
      <c r="Q242" s="149" t="s">
        <v>5276</v>
      </c>
      <c r="R242" s="149" t="s">
        <v>5273</v>
      </c>
      <c r="S242" s="150">
        <v>6000000</v>
      </c>
      <c r="T242" s="213" t="s">
        <v>4711</v>
      </c>
      <c r="U242" s="213">
        <v>38412</v>
      </c>
      <c r="V242" s="113">
        <v>239.03</v>
      </c>
      <c r="W242" s="113">
        <f t="shared" si="66"/>
        <v>9181620.3599999994</v>
      </c>
      <c r="X242" s="99" t="s">
        <v>750</v>
      </c>
      <c r="AH242" s="99">
        <v>9</v>
      </c>
      <c r="AI242" s="99" t="s">
        <v>4283</v>
      </c>
      <c r="AJ242" s="117">
        <v>13000000</v>
      </c>
      <c r="AK242" s="99">
        <v>2</v>
      </c>
      <c r="AL242" s="99">
        <f t="shared" si="67"/>
        <v>385</v>
      </c>
      <c r="AM242" s="99">
        <f t="shared" si="68"/>
        <v>5005000000</v>
      </c>
      <c r="AN242" s="99"/>
    </row>
    <row r="243" spans="16:43">
      <c r="P243" t="s">
        <v>25</v>
      </c>
      <c r="Q243" s="149" t="s">
        <v>5279</v>
      </c>
      <c r="R243" s="149" t="s">
        <v>5278</v>
      </c>
      <c r="S243" s="150">
        <v>1500000</v>
      </c>
      <c r="T243" s="213" t="s">
        <v>4711</v>
      </c>
      <c r="U243" s="213">
        <v>38412</v>
      </c>
      <c r="V243" s="113">
        <v>239.03</v>
      </c>
      <c r="W243" s="113">
        <f t="shared" si="66"/>
        <v>9181620.3599999994</v>
      </c>
      <c r="X243" s="99" t="s">
        <v>452</v>
      </c>
      <c r="AH243" s="99">
        <v>10</v>
      </c>
      <c r="AI243" s="99" t="s">
        <v>4308</v>
      </c>
      <c r="AJ243" s="117">
        <v>10000000</v>
      </c>
      <c r="AK243" s="99">
        <v>3</v>
      </c>
      <c r="AL243" s="99">
        <f t="shared" si="67"/>
        <v>383</v>
      </c>
      <c r="AM243" s="99">
        <f t="shared" si="68"/>
        <v>3830000000</v>
      </c>
      <c r="AN243" s="99"/>
    </row>
    <row r="244" spans="16:43">
      <c r="Q244" s="20" t="s">
        <v>5061</v>
      </c>
      <c r="R244" s="20" t="s">
        <v>5289</v>
      </c>
      <c r="S244" s="246">
        <v>-200000</v>
      </c>
      <c r="T244" s="213" t="s">
        <v>4715</v>
      </c>
      <c r="U244" s="213">
        <v>49555</v>
      </c>
      <c r="V244" s="113">
        <v>238.345</v>
      </c>
      <c r="W244" s="113">
        <f t="shared" si="66"/>
        <v>11811186.475</v>
      </c>
      <c r="X244" s="99" t="s">
        <v>750</v>
      </c>
      <c r="AH244" s="99">
        <v>11</v>
      </c>
      <c r="AI244" s="99" t="s">
        <v>4296</v>
      </c>
      <c r="AJ244" s="117">
        <v>3400000</v>
      </c>
      <c r="AK244" s="99">
        <v>9</v>
      </c>
      <c r="AL244" s="99">
        <f t="shared" si="67"/>
        <v>380</v>
      </c>
      <c r="AM244" s="99">
        <f t="shared" si="68"/>
        <v>1292000000</v>
      </c>
      <c r="AN244" s="99"/>
    </row>
    <row r="245" spans="16:43">
      <c r="Q245" s="195" t="s">
        <v>5321</v>
      </c>
      <c r="R245" s="195" t="s">
        <v>5320</v>
      </c>
      <c r="S245" s="241">
        <v>1000000</v>
      </c>
      <c r="T245" s="213" t="s">
        <v>4715</v>
      </c>
      <c r="U245" s="213">
        <v>49555</v>
      </c>
      <c r="V245" s="113">
        <v>238.345</v>
      </c>
      <c r="W245" s="113">
        <f t="shared" si="66"/>
        <v>11811186.475</v>
      </c>
      <c r="X245" s="99" t="s">
        <v>452</v>
      </c>
      <c r="AH245" s="99">
        <v>12</v>
      </c>
      <c r="AI245" s="99" t="s">
        <v>4337</v>
      </c>
      <c r="AJ245" s="117">
        <v>-8736514</v>
      </c>
      <c r="AK245" s="99">
        <v>1</v>
      </c>
      <c r="AL245" s="99">
        <f>AK245+AL246</f>
        <v>371</v>
      </c>
      <c r="AM245" s="99">
        <f t="shared" si="68"/>
        <v>-3241246694</v>
      </c>
      <c r="AN245" s="99"/>
    </row>
    <row r="246" spans="16:43">
      <c r="Q246" s="20" t="s">
        <v>5061</v>
      </c>
      <c r="R246" s="20" t="s">
        <v>5347</v>
      </c>
      <c r="S246" s="246">
        <v>-122000</v>
      </c>
      <c r="T246" s="213" t="s">
        <v>4729</v>
      </c>
      <c r="U246" s="213">
        <v>160187</v>
      </c>
      <c r="V246" s="113">
        <v>257.49799999999999</v>
      </c>
      <c r="W246" s="113">
        <f t="shared" si="66"/>
        <v>41247832.126000002</v>
      </c>
      <c r="X246" s="99" t="s">
        <v>750</v>
      </c>
      <c r="AH246" s="99">
        <v>13</v>
      </c>
      <c r="AI246" s="99" t="s">
        <v>4338</v>
      </c>
      <c r="AJ246" s="117">
        <v>555000</v>
      </c>
      <c r="AK246" s="99">
        <v>5</v>
      </c>
      <c r="AL246" s="99">
        <f t="shared" ref="AL246:AL262" si="69">AK246+AL247</f>
        <v>370</v>
      </c>
      <c r="AM246" s="99">
        <f t="shared" si="68"/>
        <v>205350000</v>
      </c>
      <c r="AN246" s="99"/>
    </row>
    <row r="247" spans="16:43">
      <c r="Q247" s="20" t="s">
        <v>5061</v>
      </c>
      <c r="R247" s="20" t="s">
        <v>5358</v>
      </c>
      <c r="S247" s="246">
        <v>-700000</v>
      </c>
      <c r="T247" s="213" t="s">
        <v>4729</v>
      </c>
      <c r="U247" s="213">
        <v>160187</v>
      </c>
      <c r="V247" s="113">
        <v>257.49799999999999</v>
      </c>
      <c r="W247" s="113">
        <f t="shared" si="66"/>
        <v>41247832.126000002</v>
      </c>
      <c r="X247" s="99" t="s">
        <v>452</v>
      </c>
      <c r="AH247" s="99">
        <v>14</v>
      </c>
      <c r="AI247" s="99" t="s">
        <v>4362</v>
      </c>
      <c r="AJ247" s="117">
        <v>-448308</v>
      </c>
      <c r="AK247" s="99">
        <v>6</v>
      </c>
      <c r="AL247" s="99">
        <f t="shared" si="69"/>
        <v>365</v>
      </c>
      <c r="AM247" s="99">
        <f t="shared" si="68"/>
        <v>-163632420</v>
      </c>
      <c r="AN247" s="99"/>
    </row>
    <row r="248" spans="16:43">
      <c r="Q248" s="20" t="s">
        <v>5061</v>
      </c>
      <c r="R248" s="20" t="s">
        <v>5375</v>
      </c>
      <c r="S248" s="246">
        <v>-60000</v>
      </c>
      <c r="T248" s="213" t="s">
        <v>4737</v>
      </c>
      <c r="U248" s="213">
        <v>144401</v>
      </c>
      <c r="V248" s="113">
        <v>258.5061</v>
      </c>
      <c r="W248" s="113">
        <f t="shared" si="66"/>
        <v>37328539.346100003</v>
      </c>
      <c r="X248" s="99" t="s">
        <v>750</v>
      </c>
      <c r="AH248" s="99">
        <v>15</v>
      </c>
      <c r="AI248" s="99" t="s">
        <v>4392</v>
      </c>
      <c r="AJ248" s="117">
        <v>33225</v>
      </c>
      <c r="AK248" s="99">
        <v>0</v>
      </c>
      <c r="AL248" s="99">
        <f t="shared" si="69"/>
        <v>359</v>
      </c>
      <c r="AM248" s="99">
        <f t="shared" si="68"/>
        <v>11927775</v>
      </c>
      <c r="AN248" s="99"/>
    </row>
    <row r="249" spans="16:43">
      <c r="Q249" s="99"/>
      <c r="R249" s="99"/>
      <c r="S249" s="95"/>
      <c r="T249" s="213" t="s">
        <v>4737</v>
      </c>
      <c r="U249" s="213">
        <v>144401</v>
      </c>
      <c r="V249" s="113">
        <v>258.5061</v>
      </c>
      <c r="W249" s="113">
        <f t="shared" si="66"/>
        <v>37328539.346100003</v>
      </c>
      <c r="X249" s="99" t="s">
        <v>452</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f>SUM(S226:S249)</f>
        <v>92348555</v>
      </c>
      <c r="T250" s="168" t="s">
        <v>4744</v>
      </c>
      <c r="U250" s="168">
        <v>196500</v>
      </c>
      <c r="V250" s="113">
        <v>254.452</v>
      </c>
      <c r="W250" s="113">
        <f t="shared" si="66"/>
        <v>49999818</v>
      </c>
      <c r="X250" s="99" t="s">
        <v>4748</v>
      </c>
      <c r="Y250" t="s">
        <v>25</v>
      </c>
      <c r="AH250" s="149">
        <v>17</v>
      </c>
      <c r="AI250" s="149" t="s">
        <v>4405</v>
      </c>
      <c r="AJ250" s="188">
        <v>-1000000</v>
      </c>
      <c r="AK250" s="149">
        <v>7</v>
      </c>
      <c r="AL250" s="149">
        <f t="shared" si="69"/>
        <v>357</v>
      </c>
      <c r="AM250" s="149">
        <f t="shared" si="68"/>
        <v>-357000000</v>
      </c>
      <c r="AN250" s="149" t="s">
        <v>656</v>
      </c>
    </row>
    <row r="251" spans="16:43">
      <c r="Q251" s="99"/>
      <c r="R251" s="99"/>
      <c r="S251" s="99" t="s">
        <v>6</v>
      </c>
      <c r="T251" s="213" t="s">
        <v>4744</v>
      </c>
      <c r="U251" s="213">
        <v>2561</v>
      </c>
      <c r="V251" s="113">
        <v>254.536</v>
      </c>
      <c r="W251" s="113">
        <f t="shared" si="66"/>
        <v>651866.696</v>
      </c>
      <c r="X251" s="99" t="s">
        <v>4749</v>
      </c>
      <c r="Y251" t="s">
        <v>25</v>
      </c>
      <c r="AH251" s="149">
        <v>18</v>
      </c>
      <c r="AI251" s="149" t="s">
        <v>4425</v>
      </c>
      <c r="AJ251" s="188">
        <v>750000</v>
      </c>
      <c r="AK251" s="149">
        <v>1</v>
      </c>
      <c r="AL251" s="149">
        <f t="shared" si="69"/>
        <v>350</v>
      </c>
      <c r="AM251" s="149">
        <f t="shared" si="68"/>
        <v>262500000</v>
      </c>
      <c r="AN251" s="149" t="s">
        <v>656</v>
      </c>
    </row>
    <row r="252" spans="16:43">
      <c r="T252" s="213" t="s">
        <v>4793</v>
      </c>
      <c r="U252" s="213">
        <v>-11795</v>
      </c>
      <c r="V252" s="113">
        <v>254.334</v>
      </c>
      <c r="W252" s="113">
        <f t="shared" si="66"/>
        <v>-2999869.5300000003</v>
      </c>
      <c r="X252" s="99" t="s">
        <v>4794</v>
      </c>
      <c r="AH252" s="195">
        <v>19</v>
      </c>
      <c r="AI252" s="195" t="s">
        <v>4427</v>
      </c>
      <c r="AJ252" s="196">
        <v>-604152</v>
      </c>
      <c r="AK252" s="195">
        <v>0</v>
      </c>
      <c r="AL252" s="195">
        <f t="shared" si="69"/>
        <v>349</v>
      </c>
      <c r="AM252" s="195">
        <f t="shared" si="68"/>
        <v>-210849048</v>
      </c>
      <c r="AN252" s="195" t="s">
        <v>656</v>
      </c>
    </row>
    <row r="253" spans="16:43">
      <c r="Q253" s="96"/>
      <c r="R253" s="96" t="s">
        <v>25</v>
      </c>
      <c r="T253" s="213" t="s">
        <v>4793</v>
      </c>
      <c r="U253" s="213">
        <v>11795</v>
      </c>
      <c r="V253" s="113">
        <v>254.334</v>
      </c>
      <c r="W253" s="113">
        <f t="shared" si="66"/>
        <v>2999869.5300000003</v>
      </c>
      <c r="X253" s="99" t="s">
        <v>4795</v>
      </c>
      <c r="AH253" s="99">
        <v>20</v>
      </c>
      <c r="AI253" s="99" t="s">
        <v>4428</v>
      </c>
      <c r="AJ253" s="117">
        <v>-587083</v>
      </c>
      <c r="AK253" s="99">
        <v>4</v>
      </c>
      <c r="AL253" s="99">
        <f t="shared" si="69"/>
        <v>349</v>
      </c>
      <c r="AM253" s="99">
        <f t="shared" si="68"/>
        <v>-204891967</v>
      </c>
      <c r="AN253" s="99"/>
      <c r="AQ253" t="s">
        <v>25</v>
      </c>
    </row>
    <row r="254" spans="16:43">
      <c r="Q254" s="96"/>
      <c r="R254" s="96" t="s">
        <v>25</v>
      </c>
      <c r="S254" t="s">
        <v>25</v>
      </c>
      <c r="T254" s="213" t="s">
        <v>4807</v>
      </c>
      <c r="U254" s="213">
        <v>260</v>
      </c>
      <c r="V254" s="113">
        <v>263.19</v>
      </c>
      <c r="W254" s="113">
        <f t="shared" si="66"/>
        <v>68429.399999999994</v>
      </c>
      <c r="X254" s="99" t="s">
        <v>452</v>
      </c>
      <c r="AH254" s="195">
        <v>21</v>
      </c>
      <c r="AI254" s="195" t="s">
        <v>4429</v>
      </c>
      <c r="AJ254" s="196">
        <v>-754351</v>
      </c>
      <c r="AK254" s="195">
        <v>0</v>
      </c>
      <c r="AL254" s="149">
        <f t="shared" si="69"/>
        <v>345</v>
      </c>
      <c r="AM254" s="195">
        <f t="shared" si="68"/>
        <v>-260251095</v>
      </c>
      <c r="AN254" s="195" t="s">
        <v>656</v>
      </c>
    </row>
    <row r="255" spans="16:43">
      <c r="S255" t="s">
        <v>25</v>
      </c>
      <c r="T255" s="213" t="s">
        <v>4820</v>
      </c>
      <c r="U255" s="213">
        <v>15257</v>
      </c>
      <c r="V255" s="113">
        <v>262.19018</v>
      </c>
      <c r="W255" s="113">
        <f t="shared" si="66"/>
        <v>4000235.57626</v>
      </c>
      <c r="X255" s="99" t="s">
        <v>452</v>
      </c>
      <c r="AH255" s="99">
        <v>22</v>
      </c>
      <c r="AI255" s="99" t="s">
        <v>4429</v>
      </c>
      <c r="AJ255" s="117">
        <v>-189619</v>
      </c>
      <c r="AK255" s="99">
        <v>15</v>
      </c>
      <c r="AL255" s="99">
        <f t="shared" si="69"/>
        <v>345</v>
      </c>
      <c r="AM255" s="99">
        <f t="shared" si="68"/>
        <v>-65418555</v>
      </c>
      <c r="AN255" s="99"/>
    </row>
    <row r="256" spans="16:43">
      <c r="Q256" s="99" t="s">
        <v>750</v>
      </c>
      <c r="R256" s="99"/>
      <c r="T256" s="213" t="s">
        <v>4820</v>
      </c>
      <c r="U256" s="213">
        <v>8444</v>
      </c>
      <c r="V256" s="113">
        <v>266.43029999999999</v>
      </c>
      <c r="W256" s="113">
        <f t="shared" si="66"/>
        <v>2249737.4531999999</v>
      </c>
      <c r="X256" s="99" t="s">
        <v>452</v>
      </c>
      <c r="AH256" s="195">
        <v>23</v>
      </c>
      <c r="AI256" s="195" t="s">
        <v>4500</v>
      </c>
      <c r="AJ256" s="188">
        <v>7100</v>
      </c>
      <c r="AK256" s="195">
        <v>0</v>
      </c>
      <c r="AL256" s="149">
        <f t="shared" si="69"/>
        <v>330</v>
      </c>
      <c r="AM256" s="195">
        <f t="shared" si="68"/>
        <v>2343000</v>
      </c>
      <c r="AN256" s="195" t="s">
        <v>656</v>
      </c>
    </row>
    <row r="257" spans="17:45">
      <c r="Q257" s="99" t="s">
        <v>4429</v>
      </c>
      <c r="R257" s="95">
        <v>172908000</v>
      </c>
      <c r="T257" s="213" t="s">
        <v>4825</v>
      </c>
      <c r="U257" s="213">
        <v>-6209</v>
      </c>
      <c r="V257" s="113">
        <v>273.79649999999998</v>
      </c>
      <c r="W257" s="113">
        <f t="shared" si="66"/>
        <v>-1700002.4685</v>
      </c>
      <c r="X257" s="99" t="s">
        <v>4836</v>
      </c>
      <c r="AH257" s="20">
        <v>24</v>
      </c>
      <c r="AI257" s="20" t="s">
        <v>4500</v>
      </c>
      <c r="AJ257" s="117">
        <v>-147902</v>
      </c>
      <c r="AK257" s="20">
        <v>3</v>
      </c>
      <c r="AL257" s="99">
        <f t="shared" si="69"/>
        <v>330</v>
      </c>
      <c r="AM257" s="20">
        <f t="shared" si="68"/>
        <v>-48807660</v>
      </c>
      <c r="AN257" s="20"/>
    </row>
    <row r="258" spans="17:45">
      <c r="Q258" s="99" t="s">
        <v>4469</v>
      </c>
      <c r="R258" s="95">
        <v>1400000</v>
      </c>
      <c r="T258" s="213" t="s">
        <v>4825</v>
      </c>
      <c r="U258" s="213">
        <v>-8014</v>
      </c>
      <c r="V258" s="113">
        <v>273.79649999999998</v>
      </c>
      <c r="W258" s="113">
        <f t="shared" si="66"/>
        <v>-2194205.1510000001</v>
      </c>
      <c r="X258" s="99" t="s">
        <v>750</v>
      </c>
      <c r="Z258" t="s">
        <v>25</v>
      </c>
      <c r="AH258" s="149">
        <v>25</v>
      </c>
      <c r="AI258" s="149" t="s">
        <v>4508</v>
      </c>
      <c r="AJ258" s="188">
        <v>-37200</v>
      </c>
      <c r="AK258" s="149">
        <v>4</v>
      </c>
      <c r="AL258" s="149">
        <f t="shared" si="69"/>
        <v>327</v>
      </c>
      <c r="AM258" s="195">
        <f t="shared" si="68"/>
        <v>-12164400</v>
      </c>
      <c r="AN258" s="149" t="s">
        <v>656</v>
      </c>
    </row>
    <row r="259" spans="17:45">
      <c r="Q259" s="99" t="s">
        <v>4223</v>
      </c>
      <c r="R259" s="95">
        <v>247393</v>
      </c>
      <c r="S259" t="s">
        <v>25</v>
      </c>
      <c r="T259" s="213" t="s">
        <v>4834</v>
      </c>
      <c r="U259" s="213">
        <v>-9176</v>
      </c>
      <c r="V259" s="113">
        <v>273.79649999999998</v>
      </c>
      <c r="W259" s="113">
        <f t="shared" si="66"/>
        <v>-2512356.6839999999</v>
      </c>
      <c r="X259" s="99" t="s">
        <v>452</v>
      </c>
      <c r="AH259" s="99">
        <v>26</v>
      </c>
      <c r="AI259" s="99" t="s">
        <v>4539</v>
      </c>
      <c r="AJ259" s="117">
        <v>-372326</v>
      </c>
      <c r="AK259" s="99">
        <v>21</v>
      </c>
      <c r="AL259" s="99">
        <f t="shared" si="69"/>
        <v>323</v>
      </c>
      <c r="AM259" s="20">
        <f t="shared" si="68"/>
        <v>-120261298</v>
      </c>
      <c r="AN259" s="99"/>
    </row>
    <row r="260" spans="17:45">
      <c r="Q260" s="99" t="s">
        <v>4222</v>
      </c>
      <c r="R260" s="95">
        <v>6780000</v>
      </c>
      <c r="T260" s="213" t="s">
        <v>4834</v>
      </c>
      <c r="U260" s="213">
        <v>1087</v>
      </c>
      <c r="V260" s="113">
        <v>273.79649999999998</v>
      </c>
      <c r="W260" s="113">
        <f t="shared" si="66"/>
        <v>297616.79550000001</v>
      </c>
      <c r="X260" s="99" t="s">
        <v>452</v>
      </c>
      <c r="AH260" s="99">
        <v>27</v>
      </c>
      <c r="AI260" s="99" t="s">
        <v>4591</v>
      </c>
      <c r="AJ260" s="117">
        <v>235062</v>
      </c>
      <c r="AK260" s="99">
        <v>0</v>
      </c>
      <c r="AL260" s="99">
        <f t="shared" si="69"/>
        <v>302</v>
      </c>
      <c r="AM260" s="20">
        <f t="shared" si="68"/>
        <v>70988724</v>
      </c>
      <c r="AN260" s="99"/>
    </row>
    <row r="261" spans="17:45">
      <c r="Q261" s="99" t="s">
        <v>4577</v>
      </c>
      <c r="R261" s="95">
        <v>-4000000</v>
      </c>
      <c r="T261" s="213" t="s">
        <v>979</v>
      </c>
      <c r="U261" s="213">
        <v>-4017</v>
      </c>
      <c r="V261" s="113">
        <v>273.79649999999998</v>
      </c>
      <c r="W261" s="113">
        <f t="shared" si="66"/>
        <v>-1099840.5404999999</v>
      </c>
      <c r="X261" s="99" t="s">
        <v>4436</v>
      </c>
      <c r="AH261" s="149">
        <v>28</v>
      </c>
      <c r="AI261" s="149" t="s">
        <v>4591</v>
      </c>
      <c r="AJ261" s="188">
        <v>235062</v>
      </c>
      <c r="AK261" s="149">
        <v>9</v>
      </c>
      <c r="AL261" s="99">
        <f t="shared" si="69"/>
        <v>302</v>
      </c>
      <c r="AM261" s="149">
        <f t="shared" si="68"/>
        <v>70988724</v>
      </c>
      <c r="AN261" s="149" t="s">
        <v>656</v>
      </c>
    </row>
    <row r="262" spans="17:45">
      <c r="Q262" s="99" t="s">
        <v>4609</v>
      </c>
      <c r="R262" s="95">
        <v>16727037</v>
      </c>
      <c r="T262" s="213" t="s">
        <v>979</v>
      </c>
      <c r="U262" s="213">
        <v>4017</v>
      </c>
      <c r="V262" s="113">
        <v>273.79649999999998</v>
      </c>
      <c r="W262" s="113">
        <f t="shared" si="66"/>
        <v>1099840.5404999999</v>
      </c>
      <c r="X262" s="99" t="s">
        <v>452</v>
      </c>
      <c r="AH262" s="149">
        <v>29</v>
      </c>
      <c r="AI262" s="149" t="s">
        <v>4615</v>
      </c>
      <c r="AJ262" s="188">
        <v>450000</v>
      </c>
      <c r="AK262" s="149">
        <v>0</v>
      </c>
      <c r="AL262" s="99">
        <f t="shared" si="69"/>
        <v>293</v>
      </c>
      <c r="AM262" s="149">
        <f t="shared" si="68"/>
        <v>131850000</v>
      </c>
      <c r="AN262" s="149" t="s">
        <v>656</v>
      </c>
    </row>
    <row r="263" spans="17:45">
      <c r="Q263" s="99" t="s">
        <v>4614</v>
      </c>
      <c r="R263" s="95">
        <v>46460683</v>
      </c>
      <c r="S263" t="s">
        <v>25</v>
      </c>
      <c r="T263" s="213" t="s">
        <v>4841</v>
      </c>
      <c r="U263" s="213">
        <v>3137</v>
      </c>
      <c r="V263" s="113">
        <v>283.69110000000001</v>
      </c>
      <c r="W263" s="113">
        <f t="shared" si="66"/>
        <v>889938.98070000007</v>
      </c>
      <c r="X263" s="99" t="s">
        <v>452</v>
      </c>
      <c r="AH263" s="20">
        <v>30</v>
      </c>
      <c r="AI263" s="20" t="s">
        <v>4615</v>
      </c>
      <c r="AJ263" s="117">
        <v>450000</v>
      </c>
      <c r="AK263" s="20">
        <v>22</v>
      </c>
      <c r="AL263" s="99">
        <f>AK263+AL264</f>
        <v>293</v>
      </c>
      <c r="AM263" s="20">
        <f t="shared" si="68"/>
        <v>131850000</v>
      </c>
      <c r="AN263" s="20"/>
    </row>
    <row r="264" spans="17:45">
      <c r="Q264" s="99" t="s">
        <v>4615</v>
      </c>
      <c r="R264" s="95">
        <v>19663646</v>
      </c>
      <c r="T264" s="213" t="s">
        <v>4854</v>
      </c>
      <c r="U264" s="213">
        <v>101933</v>
      </c>
      <c r="V264" s="113">
        <v>294.30973999999998</v>
      </c>
      <c r="W264" s="113">
        <f t="shared" si="66"/>
        <v>29999874.727419998</v>
      </c>
      <c r="X264" s="99" t="s">
        <v>1084</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4639</v>
      </c>
      <c r="R265" s="95">
        <v>4374525</v>
      </c>
      <c r="T265" s="213" t="s">
        <v>4861</v>
      </c>
      <c r="U265" s="213">
        <v>3407</v>
      </c>
      <c r="V265" s="113">
        <v>293.43799999999999</v>
      </c>
      <c r="W265" s="113">
        <f t="shared" si="66"/>
        <v>999743.26599999995</v>
      </c>
      <c r="X265" s="99" t="s">
        <v>452</v>
      </c>
      <c r="AH265" s="121">
        <v>32</v>
      </c>
      <c r="AI265" s="121" t="s">
        <v>4689</v>
      </c>
      <c r="AJ265" s="79">
        <v>288936</v>
      </c>
      <c r="AK265" s="121">
        <v>3</v>
      </c>
      <c r="AL265" s="121">
        <f t="shared" si="70"/>
        <v>271</v>
      </c>
      <c r="AM265" s="121">
        <f t="shared" si="71"/>
        <v>78301656</v>
      </c>
      <c r="AN265" s="205" t="s">
        <v>4700</v>
      </c>
    </row>
    <row r="266" spans="17:45">
      <c r="Q266" s="99" t="s">
        <v>4651</v>
      </c>
      <c r="R266" s="95">
        <v>6550580</v>
      </c>
      <c r="T266" s="213" t="s">
        <v>4862</v>
      </c>
      <c r="U266" s="213">
        <v>68796</v>
      </c>
      <c r="V266" s="113">
        <v>293.53250000000003</v>
      </c>
      <c r="W266" s="113">
        <f t="shared" si="66"/>
        <v>20193861.870000001</v>
      </c>
      <c r="X266" s="99" t="s">
        <v>750</v>
      </c>
      <c r="AH266" s="121">
        <v>33</v>
      </c>
      <c r="AI266" s="121" t="s">
        <v>4698</v>
      </c>
      <c r="AJ266" s="79">
        <v>17962491</v>
      </c>
      <c r="AK266" s="121">
        <v>1</v>
      </c>
      <c r="AL266" s="121">
        <f t="shared" si="70"/>
        <v>268</v>
      </c>
      <c r="AM266" s="121">
        <f t="shared" si="71"/>
        <v>4813947588</v>
      </c>
      <c r="AN266" s="121" t="s">
        <v>4705</v>
      </c>
    </row>
    <row r="267" spans="17:45">
      <c r="Q267" s="99" t="s">
        <v>4653</v>
      </c>
      <c r="R267" s="95">
        <v>6650895</v>
      </c>
      <c r="T267" s="213" t="s">
        <v>4862</v>
      </c>
      <c r="U267" s="213">
        <v>154791</v>
      </c>
      <c r="V267" s="113">
        <v>293.53250000000003</v>
      </c>
      <c r="W267" s="113">
        <f t="shared" si="66"/>
        <v>45436189.207500003</v>
      </c>
      <c r="X267" s="99" t="s">
        <v>452</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4676</v>
      </c>
      <c r="R268" s="95">
        <v>2145814</v>
      </c>
      <c r="T268" s="213" t="s">
        <v>4862</v>
      </c>
      <c r="U268" s="213">
        <v>-11923</v>
      </c>
      <c r="V268" s="113">
        <v>293.53250000000003</v>
      </c>
      <c r="W268" s="113">
        <f t="shared" si="66"/>
        <v>-3499787.9975000005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4687</v>
      </c>
      <c r="R269" s="95">
        <v>4369730</v>
      </c>
      <c r="T269" s="213" t="s">
        <v>4875</v>
      </c>
      <c r="U269" s="213">
        <v>8424</v>
      </c>
      <c r="V269" s="113">
        <v>299.15170000000001</v>
      </c>
      <c r="W269" s="113">
        <f t="shared" si="66"/>
        <v>2520053.9208</v>
      </c>
      <c r="X269" s="99" t="s">
        <v>452</v>
      </c>
      <c r="AH269" s="121">
        <v>36</v>
      </c>
      <c r="AI269" s="121" t="s">
        <v>4727</v>
      </c>
      <c r="AJ269" s="79">
        <v>82496108</v>
      </c>
      <c r="AK269" s="121">
        <v>1</v>
      </c>
      <c r="AL269" s="121">
        <f t="shared" si="70"/>
        <v>261</v>
      </c>
      <c r="AM269" s="121">
        <f t="shared" si="72"/>
        <v>21531484188</v>
      </c>
      <c r="AN269" s="121" t="s">
        <v>4730</v>
      </c>
    </row>
    <row r="270" spans="17:45">
      <c r="Q270" s="99" t="s">
        <v>4689</v>
      </c>
      <c r="R270" s="95">
        <v>8739459</v>
      </c>
      <c r="S270" t="s">
        <v>25</v>
      </c>
      <c r="T270" s="213" t="s">
        <v>4910</v>
      </c>
      <c r="U270" s="213">
        <v>15943</v>
      </c>
      <c r="V270" s="113">
        <v>307.34415000000001</v>
      </c>
      <c r="W270" s="113">
        <f t="shared" si="66"/>
        <v>4899987.78345</v>
      </c>
      <c r="X270" s="99" t="s">
        <v>452</v>
      </c>
      <c r="AH270" s="121">
        <v>37</v>
      </c>
      <c r="AI270" s="121" t="s">
        <v>4729</v>
      </c>
      <c r="AJ270" s="79">
        <v>74657561</v>
      </c>
      <c r="AK270" s="121">
        <v>16</v>
      </c>
      <c r="AL270" s="121">
        <f t="shared" si="70"/>
        <v>260</v>
      </c>
      <c r="AM270" s="121">
        <f t="shared" si="72"/>
        <v>19410965860</v>
      </c>
      <c r="AN270" s="121" t="s">
        <v>4736</v>
      </c>
    </row>
    <row r="271" spans="17:45">
      <c r="Q271" s="99" t="s">
        <v>4698</v>
      </c>
      <c r="R271" s="95">
        <v>6667654</v>
      </c>
      <c r="T271" s="213" t="s">
        <v>4931</v>
      </c>
      <c r="U271" s="213">
        <v>3741</v>
      </c>
      <c r="V271" s="113">
        <v>307.34415000000001</v>
      </c>
      <c r="W271" s="113">
        <f t="shared" si="66"/>
        <v>1149774.4651500001</v>
      </c>
      <c r="X271" s="99" t="s">
        <v>452</v>
      </c>
      <c r="AH271" s="99">
        <v>38</v>
      </c>
      <c r="AI271" s="99" t="s">
        <v>4807</v>
      </c>
      <c r="AJ271" s="117">
        <v>665000</v>
      </c>
      <c r="AK271" s="99">
        <v>0</v>
      </c>
      <c r="AL271" s="99">
        <f t="shared" si="70"/>
        <v>244</v>
      </c>
      <c r="AM271" s="20">
        <f t="shared" si="72"/>
        <v>162260000</v>
      </c>
      <c r="AN271" s="99"/>
      <c r="AR271" t="s">
        <v>25</v>
      </c>
    </row>
    <row r="272" spans="17:45">
      <c r="Q272" s="99" t="s">
        <v>4706</v>
      </c>
      <c r="R272" s="95">
        <v>8981245</v>
      </c>
      <c r="T272" s="213" t="s">
        <v>4937</v>
      </c>
      <c r="U272" s="213">
        <v>-6207</v>
      </c>
      <c r="V272" s="113">
        <v>322.214</v>
      </c>
      <c r="W272" s="113">
        <f t="shared" si="66"/>
        <v>-1999982.298</v>
      </c>
      <c r="X272" s="99" t="s">
        <v>750</v>
      </c>
      <c r="AH272" s="149">
        <v>39</v>
      </c>
      <c r="AI272" s="149" t="s">
        <v>4807</v>
      </c>
      <c r="AJ272" s="188">
        <v>665000</v>
      </c>
      <c r="AK272" s="149">
        <v>4</v>
      </c>
      <c r="AL272" s="195">
        <f t="shared" si="70"/>
        <v>244</v>
      </c>
      <c r="AM272" s="195">
        <f t="shared" ref="AM272:AM273" si="73">AJ272*AL272</f>
        <v>162260000</v>
      </c>
      <c r="AN272" s="195"/>
    </row>
    <row r="273" spans="17:40">
      <c r="Q273" s="99" t="s">
        <v>4711</v>
      </c>
      <c r="R273" s="95">
        <v>9181756</v>
      </c>
      <c r="T273" s="213" t="s">
        <v>4937</v>
      </c>
      <c r="U273" s="213">
        <v>6207</v>
      </c>
      <c r="V273" s="113">
        <v>322.214</v>
      </c>
      <c r="W273" s="113">
        <f t="shared" si="66"/>
        <v>1999982.298</v>
      </c>
      <c r="X273" s="99" t="s">
        <v>4436</v>
      </c>
      <c r="Y273" t="s">
        <v>25</v>
      </c>
      <c r="AH273" s="20">
        <v>40</v>
      </c>
      <c r="AI273" s="20" t="s">
        <v>4820</v>
      </c>
      <c r="AJ273" s="117">
        <v>2000000</v>
      </c>
      <c r="AK273" s="20">
        <v>1</v>
      </c>
      <c r="AL273" s="99">
        <f t="shared" si="70"/>
        <v>240</v>
      </c>
      <c r="AM273" s="20">
        <f t="shared" si="73"/>
        <v>480000000</v>
      </c>
      <c r="AN273" s="99"/>
    </row>
    <row r="274" spans="17:40">
      <c r="Q274" s="99" t="s">
        <v>4715</v>
      </c>
      <c r="R274" s="95">
        <v>11811208</v>
      </c>
      <c r="S274" t="s">
        <v>25</v>
      </c>
      <c r="T274" s="213" t="s">
        <v>4882</v>
      </c>
      <c r="U274" s="213">
        <v>776</v>
      </c>
      <c r="V274" s="113">
        <v>322.214</v>
      </c>
      <c r="W274" s="113">
        <f t="shared" si="66"/>
        <v>250038.06400000001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4729</v>
      </c>
      <c r="R275" s="95">
        <v>41248054</v>
      </c>
      <c r="S275" t="s">
        <v>25</v>
      </c>
      <c r="T275" s="213" t="s">
        <v>4963</v>
      </c>
      <c r="U275" s="213">
        <v>1524</v>
      </c>
      <c r="V275" s="113">
        <v>314.95999999999998</v>
      </c>
      <c r="W275" s="113">
        <f t="shared" si="66"/>
        <v>479999.04</v>
      </c>
      <c r="X275" s="99" t="s">
        <v>1084</v>
      </c>
      <c r="AH275" s="149">
        <v>42</v>
      </c>
      <c r="AI275" s="149" t="s">
        <v>4825</v>
      </c>
      <c r="AJ275" s="188">
        <v>-433375</v>
      </c>
      <c r="AK275" s="149">
        <v>0</v>
      </c>
      <c r="AL275" s="149">
        <f t="shared" si="70"/>
        <v>239</v>
      </c>
      <c r="AM275" s="149">
        <f t="shared" si="74"/>
        <v>-103576625</v>
      </c>
      <c r="AN275" s="149" t="s">
        <v>4827</v>
      </c>
    </row>
    <row r="276" spans="17:40">
      <c r="Q276" s="99" t="s">
        <v>4737</v>
      </c>
      <c r="R276" s="95">
        <v>37328780</v>
      </c>
      <c r="T276" s="213" t="s">
        <v>4972</v>
      </c>
      <c r="U276" s="213">
        <v>4435</v>
      </c>
      <c r="V276" s="113">
        <v>316.4375</v>
      </c>
      <c r="W276" s="113">
        <f t="shared" si="66"/>
        <v>1403400.3125</v>
      </c>
      <c r="X276" s="99" t="s">
        <v>452</v>
      </c>
      <c r="AH276" s="20">
        <v>43</v>
      </c>
      <c r="AI276" s="20" t="s">
        <v>4825</v>
      </c>
      <c r="AJ276" s="117">
        <v>28000000</v>
      </c>
      <c r="AK276" s="20">
        <v>1</v>
      </c>
      <c r="AL276" s="99">
        <f t="shared" si="70"/>
        <v>239</v>
      </c>
      <c r="AM276" s="20">
        <f t="shared" si="74"/>
        <v>6692000000</v>
      </c>
      <c r="AN276" s="99" t="s">
        <v>3888</v>
      </c>
    </row>
    <row r="277" spans="17:40">
      <c r="Q277" s="99" t="s">
        <v>4825</v>
      </c>
      <c r="R277" s="95">
        <v>-2194100</v>
      </c>
      <c r="T277" s="213" t="s">
        <v>4977</v>
      </c>
      <c r="U277" s="213">
        <v>624</v>
      </c>
      <c r="V277" s="113">
        <v>320.5</v>
      </c>
      <c r="W277" s="113">
        <f t="shared" si="66"/>
        <v>199992</v>
      </c>
      <c r="X277" s="99" t="s">
        <v>452</v>
      </c>
      <c r="AH277" s="20">
        <v>44</v>
      </c>
      <c r="AI277" s="20" t="s">
        <v>4834</v>
      </c>
      <c r="AJ277" s="117">
        <v>160000</v>
      </c>
      <c r="AK277" s="20">
        <v>0</v>
      </c>
      <c r="AL277" s="99">
        <f t="shared" si="70"/>
        <v>238</v>
      </c>
      <c r="AM277" s="20">
        <f t="shared" si="74"/>
        <v>38080000</v>
      </c>
      <c r="AN277" s="99"/>
    </row>
    <row r="278" spans="17:40">
      <c r="Q278" s="99" t="s">
        <v>4862</v>
      </c>
      <c r="R278" s="95">
        <v>20193916</v>
      </c>
      <c r="T278" s="213" t="s">
        <v>4983</v>
      </c>
      <c r="U278" s="213">
        <v>1086</v>
      </c>
      <c r="V278" s="113">
        <v>317.55</v>
      </c>
      <c r="W278" s="113">
        <f t="shared" si="66"/>
        <v>344859.3</v>
      </c>
      <c r="X278" s="99" t="s">
        <v>452</v>
      </c>
      <c r="AH278" s="149">
        <v>45</v>
      </c>
      <c r="AI278" s="149" t="s">
        <v>4834</v>
      </c>
      <c r="AJ278" s="188">
        <v>70000</v>
      </c>
      <c r="AK278" s="149">
        <v>9</v>
      </c>
      <c r="AL278" s="149">
        <f t="shared" si="70"/>
        <v>238</v>
      </c>
      <c r="AM278" s="149">
        <f t="shared" si="74"/>
        <v>16660000</v>
      </c>
      <c r="AN278" s="149"/>
    </row>
    <row r="279" spans="17:40">
      <c r="Q279" s="99" t="s">
        <v>4937</v>
      </c>
      <c r="R279" s="95">
        <v>-2000000</v>
      </c>
      <c r="T279" s="213" t="s">
        <v>4988</v>
      </c>
      <c r="U279" s="213">
        <v>2820</v>
      </c>
      <c r="V279" s="113">
        <v>319.1096</v>
      </c>
      <c r="W279" s="113">
        <f t="shared" si="66"/>
        <v>899889.07200000004</v>
      </c>
      <c r="X279" s="99" t="s">
        <v>452</v>
      </c>
      <c r="AH279" s="20">
        <v>46</v>
      </c>
      <c r="AI279" s="20" t="s">
        <v>4841</v>
      </c>
      <c r="AJ279" s="117">
        <v>850000</v>
      </c>
      <c r="AK279" s="20">
        <v>0</v>
      </c>
      <c r="AL279" s="99">
        <f t="shared" si="70"/>
        <v>229</v>
      </c>
      <c r="AM279" s="20">
        <f t="shared" si="74"/>
        <v>194650000</v>
      </c>
      <c r="AN279" s="99"/>
    </row>
    <row r="280" spans="17:40">
      <c r="Q280" s="99" t="s">
        <v>5016</v>
      </c>
      <c r="R280" s="95">
        <v>6800000</v>
      </c>
      <c r="S280" t="s">
        <v>25</v>
      </c>
      <c r="T280" s="213" t="s">
        <v>4992</v>
      </c>
      <c r="U280" s="213">
        <v>1145</v>
      </c>
      <c r="V280" s="113">
        <v>325.44</v>
      </c>
      <c r="W280" s="113">
        <f t="shared" si="66"/>
        <v>372628.8</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5030</v>
      </c>
      <c r="R281" s="95">
        <v>850000</v>
      </c>
      <c r="T281" s="213" t="s">
        <v>5003</v>
      </c>
      <c r="U281" s="213">
        <v>20153</v>
      </c>
      <c r="V281" s="113">
        <v>322</v>
      </c>
      <c r="W281" s="113">
        <f t="shared" si="66"/>
        <v>6489266</v>
      </c>
      <c r="X281" s="99" t="s">
        <v>452</v>
      </c>
      <c r="AH281" s="195">
        <v>48</v>
      </c>
      <c r="AI281" s="195" t="s">
        <v>4854</v>
      </c>
      <c r="AJ281" s="196">
        <v>30000000</v>
      </c>
      <c r="AK281" s="195">
        <v>27</v>
      </c>
      <c r="AL281" s="195">
        <f t="shared" si="75"/>
        <v>225</v>
      </c>
      <c r="AM281" s="195">
        <f t="shared" si="76"/>
        <v>6750000000</v>
      </c>
      <c r="AN281" s="195" t="s">
        <v>4855</v>
      </c>
    </row>
    <row r="282" spans="17:40">
      <c r="Q282" s="99" t="s">
        <v>5040</v>
      </c>
      <c r="R282" s="95">
        <v>2290500</v>
      </c>
      <c r="T282" s="213" t="s">
        <v>5016</v>
      </c>
      <c r="U282" s="213">
        <v>93720</v>
      </c>
      <c r="V282" s="113">
        <v>325.435</v>
      </c>
      <c r="W282" s="113">
        <f t="shared" si="66"/>
        <v>30499768.199999999</v>
      </c>
      <c r="X282" s="99" t="s">
        <v>1084</v>
      </c>
      <c r="AH282" s="20">
        <v>49</v>
      </c>
      <c r="AI282" s="20" t="s">
        <v>4931</v>
      </c>
      <c r="AJ282" s="117">
        <v>1100000</v>
      </c>
      <c r="AK282" s="20">
        <v>1</v>
      </c>
      <c r="AL282" s="20">
        <f t="shared" si="75"/>
        <v>198</v>
      </c>
      <c r="AM282" s="20">
        <f t="shared" si="76"/>
        <v>217800000</v>
      </c>
      <c r="AN282" s="20"/>
    </row>
    <row r="283" spans="17:40">
      <c r="Q283" s="99" t="s">
        <v>5056</v>
      </c>
      <c r="R283" s="95">
        <v>400000</v>
      </c>
      <c r="S283" t="s">
        <v>25</v>
      </c>
      <c r="T283" s="213" t="s">
        <v>5016</v>
      </c>
      <c r="U283" s="213">
        <v>20895</v>
      </c>
      <c r="V283" s="113">
        <v>325.435</v>
      </c>
      <c r="W283" s="113">
        <f t="shared" si="66"/>
        <v>6799964.3250000002</v>
      </c>
      <c r="X283" s="99" t="s">
        <v>750</v>
      </c>
      <c r="AH283" s="20">
        <v>50</v>
      </c>
      <c r="AI283" s="20" t="s">
        <v>4933</v>
      </c>
      <c r="AJ283" s="117">
        <v>450000</v>
      </c>
      <c r="AK283" s="20">
        <v>0</v>
      </c>
      <c r="AL283" s="20">
        <f t="shared" si="75"/>
        <v>197</v>
      </c>
      <c r="AM283" s="20">
        <f t="shared" si="76"/>
        <v>88650000</v>
      </c>
      <c r="AN283" s="20"/>
    </row>
    <row r="284" spans="17:40">
      <c r="Q284" s="99" t="s">
        <v>5063</v>
      </c>
      <c r="R284" s="95">
        <v>150000</v>
      </c>
      <c r="T284" s="213" t="s">
        <v>5030</v>
      </c>
      <c r="U284" s="213">
        <v>2611</v>
      </c>
      <c r="V284" s="113">
        <v>325.435</v>
      </c>
      <c r="W284" s="113">
        <f t="shared" si="66"/>
        <v>849710.78500000003</v>
      </c>
      <c r="X284" s="99" t="s">
        <v>750</v>
      </c>
      <c r="AH284" s="149">
        <v>51</v>
      </c>
      <c r="AI284" s="149" t="s">
        <v>4933</v>
      </c>
      <c r="AJ284" s="188">
        <v>550000</v>
      </c>
      <c r="AK284" s="149">
        <v>1</v>
      </c>
      <c r="AL284" s="149">
        <f t="shared" si="75"/>
        <v>197</v>
      </c>
      <c r="AM284" s="149">
        <f t="shared" si="76"/>
        <v>108350000</v>
      </c>
      <c r="AN284" s="149"/>
    </row>
    <row r="285" spans="17:40">
      <c r="Q285" s="99" t="s">
        <v>5099</v>
      </c>
      <c r="R285" s="95">
        <v>-144950</v>
      </c>
      <c r="T285" s="213" t="s">
        <v>5040</v>
      </c>
      <c r="U285" s="213">
        <v>6750</v>
      </c>
      <c r="V285" s="113">
        <v>339.3</v>
      </c>
      <c r="W285" s="113">
        <f t="shared" si="66"/>
        <v>2290275</v>
      </c>
      <c r="X285" s="99" t="s">
        <v>750</v>
      </c>
      <c r="AH285" s="149">
        <v>52</v>
      </c>
      <c r="AI285" s="149" t="s">
        <v>4935</v>
      </c>
      <c r="AJ285" s="188">
        <v>1000000</v>
      </c>
      <c r="AK285" s="149">
        <v>8</v>
      </c>
      <c r="AL285" s="149">
        <f t="shared" si="75"/>
        <v>196</v>
      </c>
      <c r="AM285" s="149">
        <f t="shared" si="76"/>
        <v>196000000</v>
      </c>
      <c r="AN285" s="149"/>
    </row>
    <row r="286" spans="17:40">
      <c r="Q286" s="99" t="s">
        <v>5135</v>
      </c>
      <c r="R286" s="95">
        <v>320000</v>
      </c>
      <c r="T286" s="213" t="s">
        <v>5056</v>
      </c>
      <c r="U286" s="213">
        <v>1850</v>
      </c>
      <c r="V286" s="113">
        <v>334.10050000000001</v>
      </c>
      <c r="W286" s="113">
        <f t="shared" si="66"/>
        <v>618085.92500000005</v>
      </c>
      <c r="X286" s="99" t="s">
        <v>452</v>
      </c>
      <c r="AH286" s="20">
        <v>53</v>
      </c>
      <c r="AI286" s="20" t="s">
        <v>4945</v>
      </c>
      <c r="AJ286" s="117">
        <v>-2668880</v>
      </c>
      <c r="AK286" s="20">
        <v>0</v>
      </c>
      <c r="AL286" s="20">
        <f t="shared" si="75"/>
        <v>188</v>
      </c>
      <c r="AM286" s="20">
        <f t="shared" si="76"/>
        <v>-501749440</v>
      </c>
      <c r="AN286" s="20" t="s">
        <v>4947</v>
      </c>
    </row>
    <row r="287" spans="17:40">
      <c r="Q287" s="99" t="s">
        <v>5140</v>
      </c>
      <c r="R287" s="95">
        <v>500000</v>
      </c>
      <c r="S287" t="s">
        <v>25</v>
      </c>
      <c r="T287" s="213" t="s">
        <v>5056</v>
      </c>
      <c r="U287" s="213">
        <v>-1194</v>
      </c>
      <c r="V287" s="113">
        <v>335</v>
      </c>
      <c r="W287" s="113">
        <f t="shared" si="66"/>
        <v>-399990</v>
      </c>
      <c r="X287" s="99" t="s">
        <v>4436</v>
      </c>
      <c r="AH287" s="149">
        <v>54</v>
      </c>
      <c r="AI287" s="149" t="s">
        <v>4945</v>
      </c>
      <c r="AJ287" s="188">
        <v>-1528620</v>
      </c>
      <c r="AK287" s="149">
        <v>0</v>
      </c>
      <c r="AL287" s="149">
        <f t="shared" si="75"/>
        <v>188</v>
      </c>
      <c r="AM287" s="149">
        <f t="shared" si="76"/>
        <v>-287380560</v>
      </c>
      <c r="AN287" s="149" t="s">
        <v>4947</v>
      </c>
    </row>
    <row r="288" spans="17:40">
      <c r="Q288" s="99" t="s">
        <v>5193</v>
      </c>
      <c r="R288" s="95">
        <v>400000</v>
      </c>
      <c r="S288" t="s">
        <v>25</v>
      </c>
      <c r="T288" s="213" t="s">
        <v>5056</v>
      </c>
      <c r="U288" s="213">
        <v>1194</v>
      </c>
      <c r="V288" s="113">
        <v>335</v>
      </c>
      <c r="W288" s="113">
        <f t="shared" si="66"/>
        <v>399990</v>
      </c>
      <c r="X288" s="99" t="s">
        <v>750</v>
      </c>
      <c r="AH288" s="20">
        <v>55</v>
      </c>
      <c r="AI288" s="20" t="s">
        <v>4945</v>
      </c>
      <c r="AJ288" s="117">
        <v>50000000</v>
      </c>
      <c r="AK288" s="20">
        <v>4</v>
      </c>
      <c r="AL288" s="20">
        <f t="shared" si="75"/>
        <v>188</v>
      </c>
      <c r="AM288" s="20">
        <f t="shared" si="76"/>
        <v>9400000000</v>
      </c>
      <c r="AN288" s="20"/>
    </row>
    <row r="289" spans="16:44">
      <c r="Q289" s="99" t="s">
        <v>5198</v>
      </c>
      <c r="R289" s="95">
        <v>50000</v>
      </c>
      <c r="S289" t="s">
        <v>25</v>
      </c>
      <c r="T289" s="213" t="s">
        <v>5063</v>
      </c>
      <c r="U289" s="213">
        <v>433</v>
      </c>
      <c r="V289" s="113">
        <v>345.68</v>
      </c>
      <c r="W289" s="113">
        <f t="shared" si="66"/>
        <v>149679.44</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5209</v>
      </c>
      <c r="R290" s="95">
        <v>300000</v>
      </c>
      <c r="T290" s="213" t="s">
        <v>5070</v>
      </c>
      <c r="U290" s="213">
        <v>55459</v>
      </c>
      <c r="V290" s="113">
        <v>362.51978000000003</v>
      </c>
      <c r="W290" s="113">
        <f t="shared" si="66"/>
        <v>20104984.479020003</v>
      </c>
      <c r="X290" s="99" t="s">
        <v>452</v>
      </c>
      <c r="AH290" s="20">
        <v>57</v>
      </c>
      <c r="AI290" s="20" t="s">
        <v>4963</v>
      </c>
      <c r="AJ290" s="117">
        <v>2000000</v>
      </c>
      <c r="AK290" s="20">
        <v>3</v>
      </c>
      <c r="AL290" s="20">
        <f t="shared" si="77"/>
        <v>180</v>
      </c>
      <c r="AM290" s="20">
        <f t="shared" si="78"/>
        <v>360000000</v>
      </c>
      <c r="AN290" s="20"/>
    </row>
    <row r="291" spans="16:44">
      <c r="Q291" s="99" t="s">
        <v>5245</v>
      </c>
      <c r="R291" s="95">
        <v>250000</v>
      </c>
      <c r="T291" s="213" t="s">
        <v>5075</v>
      </c>
      <c r="U291" s="213">
        <v>-57212</v>
      </c>
      <c r="V291" s="113">
        <v>368.45400000000001</v>
      </c>
      <c r="W291" s="113">
        <f t="shared" si="66"/>
        <v>-21079990.248</v>
      </c>
      <c r="X291" s="99" t="s">
        <v>452</v>
      </c>
      <c r="AH291" s="20">
        <v>58</v>
      </c>
      <c r="AI291" s="20" t="s">
        <v>4966</v>
      </c>
      <c r="AJ291" s="117">
        <v>100000</v>
      </c>
      <c r="AK291" s="20">
        <v>4</v>
      </c>
      <c r="AL291" s="20">
        <f t="shared" si="77"/>
        <v>177</v>
      </c>
      <c r="AM291" s="20">
        <f t="shared" si="78"/>
        <v>17700000</v>
      </c>
      <c r="AN291" s="20" t="s">
        <v>3888</v>
      </c>
    </row>
    <row r="292" spans="16:44">
      <c r="Q292" s="99" t="s">
        <v>5289</v>
      </c>
      <c r="R292" s="95">
        <v>200000</v>
      </c>
      <c r="T292" s="213" t="s">
        <v>5076</v>
      </c>
      <c r="U292" s="213">
        <v>-15881</v>
      </c>
      <c r="V292" s="113">
        <v>374.61599999999999</v>
      </c>
      <c r="W292" s="113">
        <f t="shared" si="66"/>
        <v>-5949276.6959999995</v>
      </c>
      <c r="X292" s="99" t="s">
        <v>452</v>
      </c>
      <c r="AH292" s="20">
        <v>59</v>
      </c>
      <c r="AI292" s="20" t="s">
        <v>4977</v>
      </c>
      <c r="AJ292" s="117">
        <v>100000</v>
      </c>
      <c r="AK292" s="20">
        <v>7</v>
      </c>
      <c r="AL292" s="20">
        <f t="shared" si="77"/>
        <v>173</v>
      </c>
      <c r="AM292" s="20">
        <f t="shared" si="78"/>
        <v>17300000</v>
      </c>
      <c r="AN292" s="20"/>
    </row>
    <row r="293" spans="16:44">
      <c r="Q293" s="99" t="s">
        <v>5347</v>
      </c>
      <c r="R293" s="95">
        <v>122000</v>
      </c>
      <c r="T293" s="213" t="s">
        <v>5083</v>
      </c>
      <c r="U293" s="213">
        <v>-41289</v>
      </c>
      <c r="V293" s="113">
        <v>372.27</v>
      </c>
      <c r="W293" s="113">
        <f t="shared" si="66"/>
        <v>-15370656.029999999</v>
      </c>
      <c r="X293" s="99" t="s">
        <v>452</v>
      </c>
      <c r="AH293" s="20">
        <v>60</v>
      </c>
      <c r="AI293" s="20" t="s">
        <v>4992</v>
      </c>
      <c r="AJ293" s="117">
        <v>50000</v>
      </c>
      <c r="AK293" s="20">
        <v>0</v>
      </c>
      <c r="AL293" s="20">
        <f t="shared" si="77"/>
        <v>166</v>
      </c>
      <c r="AM293" s="20">
        <f t="shared" si="78"/>
        <v>8300000</v>
      </c>
      <c r="AN293" s="20"/>
    </row>
    <row r="294" spans="16:44">
      <c r="Q294" s="99" t="s">
        <v>5358</v>
      </c>
      <c r="R294" s="95">
        <v>200000</v>
      </c>
      <c r="S294" t="s">
        <v>25</v>
      </c>
      <c r="T294" s="213" t="s">
        <v>5090</v>
      </c>
      <c r="U294" s="213">
        <v>13563</v>
      </c>
      <c r="V294" s="113">
        <v>365.69799999999998</v>
      </c>
      <c r="W294" s="113">
        <f t="shared" si="66"/>
        <v>4959961.9739999995</v>
      </c>
      <c r="X294" s="99" t="s">
        <v>452</v>
      </c>
      <c r="AH294" s="149">
        <v>61</v>
      </c>
      <c r="AI294" s="149" t="s">
        <v>4992</v>
      </c>
      <c r="AJ294" s="188">
        <v>50000</v>
      </c>
      <c r="AK294" s="149">
        <v>3</v>
      </c>
      <c r="AL294" s="149">
        <f t="shared" si="77"/>
        <v>166</v>
      </c>
      <c r="AM294" s="149">
        <f t="shared" si="78"/>
        <v>8300000</v>
      </c>
      <c r="AN294" s="149"/>
    </row>
    <row r="295" spans="16:44">
      <c r="Q295" s="99" t="s">
        <v>5375</v>
      </c>
      <c r="R295" s="95">
        <v>60000</v>
      </c>
      <c r="T295" s="213" t="s">
        <v>5090</v>
      </c>
      <c r="U295" s="213">
        <v>27344</v>
      </c>
      <c r="V295" s="113">
        <v>365.69799999999998</v>
      </c>
      <c r="W295" s="113">
        <f t="shared" si="66"/>
        <v>9999646.1119999997</v>
      </c>
      <c r="X295" s="99" t="s">
        <v>452</v>
      </c>
      <c r="AH295" s="20">
        <v>62</v>
      </c>
      <c r="AI295" s="20" t="s">
        <v>4997</v>
      </c>
      <c r="AJ295" s="117">
        <v>50000</v>
      </c>
      <c r="AK295" s="20">
        <v>0</v>
      </c>
      <c r="AL295" s="20">
        <f t="shared" si="77"/>
        <v>163</v>
      </c>
      <c r="AM295" s="20">
        <f t="shared" si="78"/>
        <v>8150000</v>
      </c>
      <c r="AN295" s="20"/>
    </row>
    <row r="296" spans="16:44" ht="30">
      <c r="P296" t="s">
        <v>25</v>
      </c>
      <c r="Q296" s="99"/>
      <c r="R296" s="95"/>
      <c r="S296" t="s">
        <v>25</v>
      </c>
      <c r="T296" s="213" t="s">
        <v>5099</v>
      </c>
      <c r="U296" s="213">
        <v>-103145</v>
      </c>
      <c r="V296" s="113">
        <v>393.334</v>
      </c>
      <c r="W296" s="113">
        <f t="shared" si="66"/>
        <v>-40570435.43</v>
      </c>
      <c r="X296" s="36" t="s">
        <v>5111</v>
      </c>
      <c r="AH296" s="195">
        <v>63</v>
      </c>
      <c r="AI296" s="195" t="s">
        <v>4997</v>
      </c>
      <c r="AJ296" s="196">
        <v>50000</v>
      </c>
      <c r="AK296" s="195">
        <v>2</v>
      </c>
      <c r="AL296" s="195">
        <f t="shared" si="77"/>
        <v>163</v>
      </c>
      <c r="AM296" s="195">
        <f t="shared" si="78"/>
        <v>8150000</v>
      </c>
      <c r="AN296" s="195"/>
    </row>
    <row r="297" spans="16:44">
      <c r="Q297" s="99"/>
      <c r="R297" s="95">
        <f>SUM(R257:R296)</f>
        <v>436983825</v>
      </c>
      <c r="T297" s="213" t="s">
        <v>5099</v>
      </c>
      <c r="U297" s="213">
        <v>-369</v>
      </c>
      <c r="V297" s="113">
        <v>393.334</v>
      </c>
      <c r="W297" s="113">
        <f t="shared" si="66"/>
        <v>-145140.24600000001</v>
      </c>
      <c r="X297" s="36" t="s">
        <v>5200</v>
      </c>
      <c r="AH297" s="20">
        <v>64</v>
      </c>
      <c r="AI297" s="20" t="s">
        <v>5006</v>
      </c>
      <c r="AJ297" s="117">
        <v>25000</v>
      </c>
      <c r="AK297" s="20">
        <v>0</v>
      </c>
      <c r="AL297" s="20">
        <f t="shared" si="77"/>
        <v>161</v>
      </c>
      <c r="AM297" s="20">
        <f t="shared" si="78"/>
        <v>4025000</v>
      </c>
      <c r="AN297" s="20"/>
    </row>
    <row r="298" spans="16:44">
      <c r="Q298" s="99"/>
      <c r="R298" s="99" t="s">
        <v>6</v>
      </c>
      <c r="T298" s="213" t="s">
        <v>5099</v>
      </c>
      <c r="U298" s="213">
        <v>-889</v>
      </c>
      <c r="V298" s="113">
        <v>393.334</v>
      </c>
      <c r="W298" s="113">
        <f t="shared" si="66"/>
        <v>-349673.92599999998</v>
      </c>
      <c r="X298" s="36" t="s">
        <v>5201</v>
      </c>
      <c r="AH298" s="149">
        <v>65</v>
      </c>
      <c r="AI298" s="149" t="s">
        <v>5006</v>
      </c>
      <c r="AJ298" s="188">
        <v>35000</v>
      </c>
      <c r="AK298" s="149">
        <v>7</v>
      </c>
      <c r="AL298" s="149">
        <f t="shared" si="77"/>
        <v>161</v>
      </c>
      <c r="AM298" s="149">
        <f t="shared" si="78"/>
        <v>5635000</v>
      </c>
      <c r="AN298" s="149"/>
    </row>
    <row r="299" spans="16:44">
      <c r="R299" t="s">
        <v>25</v>
      </c>
      <c r="T299" s="213" t="s">
        <v>5115</v>
      </c>
      <c r="U299" s="213">
        <v>2546</v>
      </c>
      <c r="V299" s="113">
        <v>393</v>
      </c>
      <c r="W299" s="113">
        <f t="shared" si="66"/>
        <v>1000578</v>
      </c>
      <c r="X299" s="36" t="s">
        <v>452</v>
      </c>
      <c r="AH299" s="149">
        <v>66</v>
      </c>
      <c r="AI299" s="149" t="s">
        <v>5016</v>
      </c>
      <c r="AJ299" s="188">
        <v>30000000</v>
      </c>
      <c r="AK299" s="149">
        <v>0</v>
      </c>
      <c r="AL299" s="149">
        <f t="shared" ref="AL299:AL318" si="79">AK299+AL300</f>
        <v>154</v>
      </c>
      <c r="AM299" s="149">
        <f t="shared" ref="AM299:AM318" si="80">AJ299*AL299</f>
        <v>4620000000</v>
      </c>
      <c r="AN299" s="149"/>
    </row>
    <row r="300" spans="16:44">
      <c r="S300" t="s">
        <v>25</v>
      </c>
      <c r="T300" s="213" t="s">
        <v>5116</v>
      </c>
      <c r="U300" s="213">
        <v>1034</v>
      </c>
      <c r="V300" s="113">
        <v>386.608</v>
      </c>
      <c r="W300" s="113">
        <f t="shared" si="66"/>
        <v>399752.67200000002</v>
      </c>
      <c r="X300" s="36" t="s">
        <v>452</v>
      </c>
      <c r="AH300" s="20">
        <v>67</v>
      </c>
      <c r="AI300" s="20" t="s">
        <v>5016</v>
      </c>
      <c r="AJ300" s="117">
        <v>6800000</v>
      </c>
      <c r="AK300" s="20">
        <v>1</v>
      </c>
      <c r="AL300" s="20">
        <f t="shared" si="79"/>
        <v>154</v>
      </c>
      <c r="AM300" s="20">
        <f t="shared" si="80"/>
        <v>1047200000</v>
      </c>
      <c r="AN300" s="20"/>
      <c r="AR300" t="s">
        <v>25</v>
      </c>
    </row>
    <row r="301" spans="16:44">
      <c r="Q301" s="99" t="s">
        <v>452</v>
      </c>
      <c r="R301" s="99"/>
      <c r="S301" t="s">
        <v>25</v>
      </c>
      <c r="T301" s="213" t="s">
        <v>5123</v>
      </c>
      <c r="U301" s="213">
        <v>300</v>
      </c>
      <c r="V301" s="113">
        <v>400</v>
      </c>
      <c r="W301" s="113">
        <f t="shared" si="66"/>
        <v>120000</v>
      </c>
      <c r="X301" s="36" t="s">
        <v>452</v>
      </c>
      <c r="AH301" s="20">
        <v>68</v>
      </c>
      <c r="AI301" s="20" t="s">
        <v>5022</v>
      </c>
      <c r="AJ301" s="117">
        <v>500000</v>
      </c>
      <c r="AK301" s="20">
        <v>1</v>
      </c>
      <c r="AL301" s="20">
        <f t="shared" si="79"/>
        <v>153</v>
      </c>
      <c r="AM301" s="20">
        <f t="shared" si="80"/>
        <v>76500000</v>
      </c>
      <c r="AN301" s="20"/>
    </row>
    <row r="302" spans="16:44">
      <c r="Q302" s="99" t="s">
        <v>4429</v>
      </c>
      <c r="R302" s="95">
        <v>63115000</v>
      </c>
      <c r="T302" s="213" t="s">
        <v>5135</v>
      </c>
      <c r="U302" s="213">
        <v>782</v>
      </c>
      <c r="V302" s="113">
        <v>409</v>
      </c>
      <c r="W302" s="113">
        <f t="shared" si="66"/>
        <v>319838</v>
      </c>
      <c r="X302" s="36" t="s">
        <v>750</v>
      </c>
      <c r="Y302" t="s">
        <v>25</v>
      </c>
      <c r="AH302" s="20">
        <v>69</v>
      </c>
      <c r="AI302" s="20" t="s">
        <v>5030</v>
      </c>
      <c r="AJ302" s="117">
        <v>850000</v>
      </c>
      <c r="AK302" s="20">
        <v>5</v>
      </c>
      <c r="AL302" s="20">
        <f t="shared" si="79"/>
        <v>152</v>
      </c>
      <c r="AM302" s="20">
        <f t="shared" si="80"/>
        <v>129200000</v>
      </c>
      <c r="AN302" s="20"/>
    </row>
    <row r="303" spans="16:44">
      <c r="Q303" s="99" t="s">
        <v>4482</v>
      </c>
      <c r="R303" s="95">
        <v>13300000</v>
      </c>
      <c r="T303" s="213" t="s">
        <v>5140</v>
      </c>
      <c r="U303" s="213">
        <v>1220</v>
      </c>
      <c r="V303" s="113">
        <v>409.9</v>
      </c>
      <c r="W303" s="113">
        <f t="shared" si="66"/>
        <v>500078</v>
      </c>
      <c r="X303" s="36" t="s">
        <v>750</v>
      </c>
      <c r="Y303" t="s">
        <v>25</v>
      </c>
      <c r="AH303" s="20">
        <v>70</v>
      </c>
      <c r="AI303" s="20" t="s">
        <v>5040</v>
      </c>
      <c r="AJ303" s="117">
        <v>1130250</v>
      </c>
      <c r="AK303" s="20">
        <v>0</v>
      </c>
      <c r="AL303" s="20">
        <f t="shared" si="79"/>
        <v>147</v>
      </c>
      <c r="AM303" s="20">
        <f t="shared" si="80"/>
        <v>166146750</v>
      </c>
      <c r="AN303" s="20"/>
    </row>
    <row r="304" spans="16:44">
      <c r="Q304" s="99" t="s">
        <v>4490</v>
      </c>
      <c r="R304" s="95">
        <v>2269000</v>
      </c>
      <c r="T304" s="213" t="s">
        <v>5142</v>
      </c>
      <c r="U304" s="213">
        <v>1285</v>
      </c>
      <c r="V304" s="113">
        <v>388.84</v>
      </c>
      <c r="W304" s="113">
        <f t="shared" si="66"/>
        <v>499659.39999999997</v>
      </c>
      <c r="X304" s="36" t="s">
        <v>452</v>
      </c>
      <c r="AH304" s="260">
        <v>71</v>
      </c>
      <c r="AI304" s="260" t="s">
        <v>5040</v>
      </c>
      <c r="AJ304" s="251">
        <v>30000</v>
      </c>
      <c r="AK304" s="260">
        <v>5</v>
      </c>
      <c r="AL304" s="260">
        <f t="shared" si="79"/>
        <v>147</v>
      </c>
      <c r="AM304" s="260">
        <f t="shared" si="80"/>
        <v>4410000</v>
      </c>
      <c r="AN304" s="260"/>
    </row>
    <row r="305" spans="17:40">
      <c r="Q305" s="99" t="s">
        <v>4605</v>
      </c>
      <c r="R305" s="95">
        <v>25071612</v>
      </c>
      <c r="T305" s="213" t="s">
        <v>5128</v>
      </c>
      <c r="U305" s="213">
        <v>1924</v>
      </c>
      <c r="V305" s="113">
        <v>386.69600000000003</v>
      </c>
      <c r="W305" s="113">
        <f t="shared" si="66"/>
        <v>744003.10400000005</v>
      </c>
      <c r="X305" s="36" t="s">
        <v>452</v>
      </c>
      <c r="AH305" s="20">
        <v>72</v>
      </c>
      <c r="AI305" s="20" t="s">
        <v>5056</v>
      </c>
      <c r="AJ305" s="117">
        <v>206000</v>
      </c>
      <c r="AK305" s="20">
        <v>0</v>
      </c>
      <c r="AL305" s="20">
        <f t="shared" si="79"/>
        <v>142</v>
      </c>
      <c r="AM305" s="20">
        <f t="shared" si="80"/>
        <v>29252000</v>
      </c>
      <c r="AN305" s="20"/>
    </row>
    <row r="306" spans="17:40">
      <c r="Q306" s="99" t="s">
        <v>4614</v>
      </c>
      <c r="R306" s="95">
        <v>42236984</v>
      </c>
      <c r="T306" s="213" t="s">
        <v>5158</v>
      </c>
      <c r="U306" s="213">
        <v>165</v>
      </c>
      <c r="V306" s="113">
        <v>393.5</v>
      </c>
      <c r="W306" s="113">
        <f t="shared" si="66"/>
        <v>64927.5</v>
      </c>
      <c r="X306" s="36" t="s">
        <v>452</v>
      </c>
      <c r="AH306" s="149">
        <v>73</v>
      </c>
      <c r="AI306" s="149" t="s">
        <v>5056</v>
      </c>
      <c r="AJ306" s="188">
        <v>206000</v>
      </c>
      <c r="AK306" s="149">
        <v>2</v>
      </c>
      <c r="AL306" s="149">
        <f t="shared" si="79"/>
        <v>142</v>
      </c>
      <c r="AM306" s="149">
        <f t="shared" si="80"/>
        <v>29252000</v>
      </c>
      <c r="AN306" s="149"/>
    </row>
    <row r="307" spans="17:40" ht="30">
      <c r="Q307" s="99" t="s">
        <v>4615</v>
      </c>
      <c r="R307" s="95">
        <v>19663646</v>
      </c>
      <c r="T307" s="213" t="s">
        <v>5166</v>
      </c>
      <c r="U307" s="213">
        <v>-34859</v>
      </c>
      <c r="V307" s="113">
        <v>403.1585</v>
      </c>
      <c r="W307" s="113">
        <f t="shared" si="66"/>
        <v>-14053702.1515</v>
      </c>
      <c r="X307" s="36" t="s">
        <v>5170</v>
      </c>
      <c r="AH307" s="20">
        <v>74</v>
      </c>
      <c r="AI307" s="20" t="s">
        <v>5063</v>
      </c>
      <c r="AJ307" s="117">
        <v>50000</v>
      </c>
      <c r="AK307" s="20">
        <v>0</v>
      </c>
      <c r="AL307" s="20">
        <f t="shared" si="79"/>
        <v>140</v>
      </c>
      <c r="AM307" s="20">
        <f t="shared" si="80"/>
        <v>7000000</v>
      </c>
      <c r="AN307" s="20"/>
    </row>
    <row r="308" spans="17:40">
      <c r="Q308" s="99" t="s">
        <v>4639</v>
      </c>
      <c r="R308" s="95">
        <v>4374525</v>
      </c>
      <c r="T308" s="213" t="s">
        <v>5129</v>
      </c>
      <c r="U308" s="213">
        <v>8476</v>
      </c>
      <c r="V308" s="113">
        <v>419.49900000000002</v>
      </c>
      <c r="W308" s="113">
        <f t="shared" si="66"/>
        <v>3555673.5240000002</v>
      </c>
      <c r="X308" s="36" t="s">
        <v>5177</v>
      </c>
      <c r="AH308" s="260">
        <v>75</v>
      </c>
      <c r="AI308" s="260" t="s">
        <v>5063</v>
      </c>
      <c r="AJ308" s="251">
        <v>50000</v>
      </c>
      <c r="AK308" s="260">
        <v>2</v>
      </c>
      <c r="AL308" s="260">
        <f t="shared" si="79"/>
        <v>140</v>
      </c>
      <c r="AM308" s="260">
        <f t="shared" si="80"/>
        <v>7000000</v>
      </c>
      <c r="AN308" s="260"/>
    </row>
    <row r="309" spans="17:40">
      <c r="Q309" s="99" t="s">
        <v>4651</v>
      </c>
      <c r="R309" s="95">
        <v>6550580</v>
      </c>
      <c r="T309" s="213" t="s">
        <v>5193</v>
      </c>
      <c r="U309" s="213">
        <v>903</v>
      </c>
      <c r="V309" s="113">
        <v>442.77379999999999</v>
      </c>
      <c r="W309" s="113">
        <f t="shared" si="66"/>
        <v>399824.7414</v>
      </c>
      <c r="X309" s="36" t="s">
        <v>750</v>
      </c>
      <c r="AH309" s="20">
        <v>76</v>
      </c>
      <c r="AI309" s="20" t="s">
        <v>5070</v>
      </c>
      <c r="AJ309" s="117">
        <v>20000000</v>
      </c>
      <c r="AK309" s="20">
        <v>7</v>
      </c>
      <c r="AL309" s="20">
        <f t="shared" si="79"/>
        <v>138</v>
      </c>
      <c r="AM309" s="20">
        <f t="shared" si="80"/>
        <v>2760000000</v>
      </c>
      <c r="AN309" s="20" t="s">
        <v>5071</v>
      </c>
    </row>
    <row r="310" spans="17:40">
      <c r="Q310" s="99" t="s">
        <v>4653</v>
      </c>
      <c r="R310" s="95">
        <v>7054895</v>
      </c>
      <c r="T310" s="213" t="s">
        <v>5198</v>
      </c>
      <c r="U310" s="213">
        <v>113</v>
      </c>
      <c r="V310" s="113">
        <v>442.48200000000003</v>
      </c>
      <c r="W310" s="113">
        <f t="shared" ref="W310:W346" si="81">U310*V310</f>
        <v>50000.466</v>
      </c>
      <c r="X310" s="36" t="s">
        <v>750</v>
      </c>
      <c r="AH310" s="20">
        <v>77</v>
      </c>
      <c r="AI310" s="20" t="s">
        <v>5083</v>
      </c>
      <c r="AJ310" s="117">
        <v>50000</v>
      </c>
      <c r="AK310" s="20">
        <v>0</v>
      </c>
      <c r="AL310" s="20">
        <f t="shared" si="79"/>
        <v>131</v>
      </c>
      <c r="AM310" s="20">
        <f t="shared" si="80"/>
        <v>6550000</v>
      </c>
      <c r="AN310" s="20"/>
    </row>
    <row r="311" spans="17:40">
      <c r="Q311" s="99" t="s">
        <v>4676</v>
      </c>
      <c r="R311" s="95">
        <v>2145814</v>
      </c>
      <c r="T311" s="213" t="s">
        <v>5209</v>
      </c>
      <c r="U311" s="213">
        <v>671</v>
      </c>
      <c r="V311" s="113">
        <v>447</v>
      </c>
      <c r="W311" s="113">
        <f t="shared" si="81"/>
        <v>299937</v>
      </c>
      <c r="X311" s="36" t="s">
        <v>750</v>
      </c>
      <c r="AH311" s="149">
        <v>78</v>
      </c>
      <c r="AI311" s="149" t="s">
        <v>5083</v>
      </c>
      <c r="AJ311" s="188">
        <v>50000</v>
      </c>
      <c r="AK311" s="149">
        <v>7</v>
      </c>
      <c r="AL311" s="149">
        <f t="shared" si="79"/>
        <v>131</v>
      </c>
      <c r="AM311" s="149">
        <f t="shared" si="80"/>
        <v>6550000</v>
      </c>
      <c r="AN311" s="149"/>
    </row>
    <row r="312" spans="17:40">
      <c r="Q312" s="99" t="s">
        <v>4687</v>
      </c>
      <c r="R312" s="95">
        <v>4369730</v>
      </c>
      <c r="T312" s="213" t="s">
        <v>5211</v>
      </c>
      <c r="U312" s="213">
        <v>7</v>
      </c>
      <c r="V312" s="113">
        <v>465.31200000000001</v>
      </c>
      <c r="W312" s="113">
        <f t="shared" si="81"/>
        <v>3257.1840000000002</v>
      </c>
      <c r="X312" s="36" t="s">
        <v>452</v>
      </c>
      <c r="AH312" s="20">
        <v>79</v>
      </c>
      <c r="AI312" s="20" t="s">
        <v>5090</v>
      </c>
      <c r="AJ312" s="117">
        <v>2480000</v>
      </c>
      <c r="AK312" s="20">
        <v>0</v>
      </c>
      <c r="AL312" s="20">
        <f t="shared" si="79"/>
        <v>124</v>
      </c>
      <c r="AM312" s="20">
        <f t="shared" si="80"/>
        <v>307520000</v>
      </c>
      <c r="AN312" s="20"/>
    </row>
    <row r="313" spans="17:40">
      <c r="Q313" s="99" t="s">
        <v>4689</v>
      </c>
      <c r="R313" s="95">
        <v>8739459</v>
      </c>
      <c r="T313" s="213" t="s">
        <v>5220</v>
      </c>
      <c r="U313" s="213">
        <v>12950</v>
      </c>
      <c r="V313" s="113">
        <v>463.31599999999997</v>
      </c>
      <c r="W313" s="113">
        <f t="shared" si="81"/>
        <v>5999942.1999999993</v>
      </c>
      <c r="X313" s="36" t="s">
        <v>452</v>
      </c>
      <c r="AH313" s="149">
        <v>80</v>
      </c>
      <c r="AI313" s="149" t="s">
        <v>5090</v>
      </c>
      <c r="AJ313" s="188">
        <v>2480000</v>
      </c>
      <c r="AK313" s="149">
        <v>12</v>
      </c>
      <c r="AL313" s="149">
        <f t="shared" si="79"/>
        <v>124</v>
      </c>
      <c r="AM313" s="149">
        <f t="shared" si="80"/>
        <v>307520000</v>
      </c>
      <c r="AN313" s="149"/>
    </row>
    <row r="314" spans="17:40">
      <c r="Q314" s="99" t="s">
        <v>4698</v>
      </c>
      <c r="R314" s="95">
        <v>6667654</v>
      </c>
      <c r="T314" s="213" t="s">
        <v>5226</v>
      </c>
      <c r="U314" s="213">
        <v>37</v>
      </c>
      <c r="V314" s="113">
        <v>463.315</v>
      </c>
      <c r="W314" s="113">
        <f t="shared" si="81"/>
        <v>17142.654999999999</v>
      </c>
      <c r="X314" s="36" t="s">
        <v>452</v>
      </c>
      <c r="AH314" s="20">
        <v>81</v>
      </c>
      <c r="AI314" s="20" t="s">
        <v>5099</v>
      </c>
      <c r="AJ314" s="117">
        <v>-24159500</v>
      </c>
      <c r="AK314" s="20">
        <v>4</v>
      </c>
      <c r="AL314" s="20">
        <f t="shared" si="79"/>
        <v>112</v>
      </c>
      <c r="AM314" s="20">
        <f t="shared" si="80"/>
        <v>-2705864000</v>
      </c>
      <c r="AN314" s="20" t="s">
        <v>5114</v>
      </c>
    </row>
    <row r="315" spans="17:40">
      <c r="Q315" s="99" t="s">
        <v>3681</v>
      </c>
      <c r="R315" s="95">
        <v>8981245</v>
      </c>
      <c r="T315" s="213" t="s">
        <v>5227</v>
      </c>
      <c r="U315" s="213">
        <v>19</v>
      </c>
      <c r="V315" s="113">
        <v>434.3</v>
      </c>
      <c r="W315" s="113">
        <f t="shared" si="81"/>
        <v>8251.7000000000007</v>
      </c>
      <c r="X315" s="36" t="s">
        <v>452</v>
      </c>
      <c r="AH315" s="20">
        <v>82</v>
      </c>
      <c r="AI315" s="20" t="s">
        <v>5116</v>
      </c>
      <c r="AJ315" s="117">
        <v>400000</v>
      </c>
      <c r="AK315" s="20">
        <v>3</v>
      </c>
      <c r="AL315" s="20">
        <f t="shared" si="79"/>
        <v>108</v>
      </c>
      <c r="AM315" s="20">
        <f t="shared" si="80"/>
        <v>43200000</v>
      </c>
      <c r="AN315" s="20"/>
    </row>
    <row r="316" spans="17:40">
      <c r="Q316" s="99" t="s">
        <v>4711</v>
      </c>
      <c r="R316" s="95">
        <v>9181756</v>
      </c>
      <c r="T316" s="213" t="s">
        <v>5229</v>
      </c>
      <c r="U316" s="213">
        <v>16</v>
      </c>
      <c r="V316" s="113">
        <v>439</v>
      </c>
      <c r="W316" s="113">
        <f t="shared" si="81"/>
        <v>7024</v>
      </c>
      <c r="X316" s="36" t="s">
        <v>452</v>
      </c>
      <c r="AH316" s="149">
        <v>83</v>
      </c>
      <c r="AI316" s="149" t="s">
        <v>5123</v>
      </c>
      <c r="AJ316" s="188">
        <v>40000</v>
      </c>
      <c r="AK316" s="149">
        <v>0</v>
      </c>
      <c r="AL316" s="149">
        <f t="shared" si="79"/>
        <v>105</v>
      </c>
      <c r="AM316" s="149">
        <f t="shared" si="80"/>
        <v>4200000</v>
      </c>
      <c r="AN316" s="149"/>
    </row>
    <row r="317" spans="17:40" ht="45">
      <c r="Q317" s="99" t="s">
        <v>4715</v>
      </c>
      <c r="R317" s="95">
        <v>11811208</v>
      </c>
      <c r="T317" s="213" t="s">
        <v>5229</v>
      </c>
      <c r="U317" s="213">
        <v>9191</v>
      </c>
      <c r="V317" s="113">
        <v>440.24630000000002</v>
      </c>
      <c r="W317" s="113">
        <f t="shared" si="81"/>
        <v>4046303.7433000002</v>
      </c>
      <c r="X317" s="36" t="s">
        <v>5232</v>
      </c>
      <c r="AH317" s="20">
        <v>84</v>
      </c>
      <c r="AI317" s="20" t="s">
        <v>5123</v>
      </c>
      <c r="AJ317" s="117">
        <v>40000</v>
      </c>
      <c r="AK317" s="20">
        <v>5</v>
      </c>
      <c r="AL317" s="20">
        <f t="shared" si="79"/>
        <v>105</v>
      </c>
      <c r="AM317" s="20">
        <f t="shared" si="80"/>
        <v>4200000</v>
      </c>
      <c r="AN317" s="20"/>
    </row>
    <row r="318" spans="17:40">
      <c r="Q318" s="99" t="s">
        <v>4729</v>
      </c>
      <c r="R318" s="95">
        <v>41248054</v>
      </c>
      <c r="T318" s="213" t="s">
        <v>5234</v>
      </c>
      <c r="U318" s="213">
        <v>-8792</v>
      </c>
      <c r="V318" s="113">
        <v>441.90665999999999</v>
      </c>
      <c r="W318" s="113">
        <f t="shared" si="81"/>
        <v>-3885243.3547199997</v>
      </c>
      <c r="X318" s="36" t="s">
        <v>5235</v>
      </c>
      <c r="Y318" t="s">
        <v>25</v>
      </c>
      <c r="AH318" s="20">
        <v>85</v>
      </c>
      <c r="AI318" s="20" t="s">
        <v>5135</v>
      </c>
      <c r="AJ318" s="117">
        <v>200000</v>
      </c>
      <c r="AK318" s="20">
        <v>1</v>
      </c>
      <c r="AL318" s="20">
        <f t="shared" si="79"/>
        <v>100</v>
      </c>
      <c r="AM318" s="20">
        <f t="shared" si="80"/>
        <v>20000000</v>
      </c>
      <c r="AN318" s="20"/>
    </row>
    <row r="319" spans="17:40">
      <c r="Q319" s="99" t="s">
        <v>4737</v>
      </c>
      <c r="R319" s="95">
        <v>37328780</v>
      </c>
      <c r="T319" s="213" t="s">
        <v>5239</v>
      </c>
      <c r="U319" s="213">
        <v>24374</v>
      </c>
      <c r="V319" s="113">
        <v>471.81700000000001</v>
      </c>
      <c r="W319" s="113">
        <f t="shared" si="81"/>
        <v>11500067.558</v>
      </c>
      <c r="X319" s="36" t="s">
        <v>5243</v>
      </c>
      <c r="AH319" s="20">
        <v>86</v>
      </c>
      <c r="AI319" s="20" t="s">
        <v>5140</v>
      </c>
      <c r="AJ319" s="117">
        <v>500000</v>
      </c>
      <c r="AK319" s="20">
        <v>2</v>
      </c>
      <c r="AL319" s="20">
        <f t="shared" ref="AL319:AL363" si="82">AK319+AL320</f>
        <v>99</v>
      </c>
      <c r="AM319" s="20">
        <f t="shared" ref="AM319:AM363" si="83">AJ319*AL319</f>
        <v>49500000</v>
      </c>
      <c r="AN319" s="20"/>
    </row>
    <row r="320" spans="17:40">
      <c r="Q320" s="99" t="s">
        <v>4744</v>
      </c>
      <c r="R320" s="95">
        <v>50000000</v>
      </c>
      <c r="T320" s="213" t="s">
        <v>5245</v>
      </c>
      <c r="U320" s="213">
        <v>530</v>
      </c>
      <c r="V320" s="113">
        <v>472</v>
      </c>
      <c r="W320" s="113">
        <f t="shared" si="81"/>
        <v>250160</v>
      </c>
      <c r="X320" s="36" t="s">
        <v>750</v>
      </c>
      <c r="AH320" s="20">
        <v>87</v>
      </c>
      <c r="AI320" s="20" t="s">
        <v>5142</v>
      </c>
      <c r="AJ320" s="117">
        <v>500000</v>
      </c>
      <c r="AK320" s="20">
        <v>3</v>
      </c>
      <c r="AL320" s="20">
        <f t="shared" si="82"/>
        <v>97</v>
      </c>
      <c r="AM320" s="20">
        <f t="shared" si="83"/>
        <v>48500000</v>
      </c>
      <c r="AN320" s="20"/>
    </row>
    <row r="321" spans="17:44" ht="30">
      <c r="Q321" s="99" t="s">
        <v>4807</v>
      </c>
      <c r="R321" s="95">
        <v>68656</v>
      </c>
      <c r="T321" s="213" t="s">
        <v>5245</v>
      </c>
      <c r="U321" s="213">
        <v>12</v>
      </c>
      <c r="V321" s="113">
        <v>481.86</v>
      </c>
      <c r="W321" s="113">
        <f t="shared" si="81"/>
        <v>5782.32</v>
      </c>
      <c r="X321" s="36" t="s">
        <v>5250</v>
      </c>
      <c r="AH321" s="20">
        <v>88</v>
      </c>
      <c r="AI321" s="20" t="s">
        <v>5128</v>
      </c>
      <c r="AJ321" s="117">
        <v>250000</v>
      </c>
      <c r="AK321" s="20">
        <v>0</v>
      </c>
      <c r="AL321" s="20">
        <f t="shared" si="82"/>
        <v>94</v>
      </c>
      <c r="AM321" s="20">
        <f t="shared" si="83"/>
        <v>23500000</v>
      </c>
      <c r="AN321" s="20"/>
    </row>
    <row r="322" spans="17:44">
      <c r="Q322" s="99" t="s">
        <v>4820</v>
      </c>
      <c r="R322" s="95">
        <v>4000236</v>
      </c>
      <c r="T322" s="213" t="s">
        <v>5273</v>
      </c>
      <c r="U322" s="213">
        <v>12330</v>
      </c>
      <c r="V322" s="113">
        <v>486.63443869999998</v>
      </c>
      <c r="W322" s="113">
        <f t="shared" si="81"/>
        <v>6000202.6291709999</v>
      </c>
      <c r="X322" s="36" t="s">
        <v>5243</v>
      </c>
      <c r="AH322" s="260">
        <v>89</v>
      </c>
      <c r="AI322" s="260" t="s">
        <v>5128</v>
      </c>
      <c r="AJ322" s="251">
        <v>245000</v>
      </c>
      <c r="AK322" s="260">
        <v>16</v>
      </c>
      <c r="AL322" s="260">
        <f t="shared" si="82"/>
        <v>94</v>
      </c>
      <c r="AM322" s="260">
        <f t="shared" si="83"/>
        <v>23030000</v>
      </c>
      <c r="AN322" s="260"/>
    </row>
    <row r="323" spans="17:44">
      <c r="Q323" s="99" t="s">
        <v>4820</v>
      </c>
      <c r="R323" s="95">
        <v>2250000</v>
      </c>
      <c r="T323" s="213" t="s">
        <v>5278</v>
      </c>
      <c r="U323" s="213">
        <v>846</v>
      </c>
      <c r="V323" s="113">
        <v>472.7</v>
      </c>
      <c r="W323" s="113">
        <f t="shared" si="81"/>
        <v>399904.2</v>
      </c>
      <c r="X323" s="36" t="s">
        <v>452</v>
      </c>
      <c r="AH323" s="20">
        <v>90</v>
      </c>
      <c r="AI323" s="20" t="s">
        <v>5171</v>
      </c>
      <c r="AJ323" s="117">
        <v>312598</v>
      </c>
      <c r="AK323" s="20">
        <v>0</v>
      </c>
      <c r="AL323" s="20">
        <f t="shared" si="82"/>
        <v>78</v>
      </c>
      <c r="AM323" s="20">
        <f t="shared" si="83"/>
        <v>24382644</v>
      </c>
      <c r="AN323" s="20"/>
    </row>
    <row r="324" spans="17:44">
      <c r="Q324" s="99" t="s">
        <v>4825</v>
      </c>
      <c r="R324" s="95">
        <v>-2512200</v>
      </c>
      <c r="T324" s="213" t="s">
        <v>5278</v>
      </c>
      <c r="U324" s="213">
        <v>3173</v>
      </c>
      <c r="V324" s="113">
        <v>472.7</v>
      </c>
      <c r="W324" s="113">
        <f t="shared" si="81"/>
        <v>1499877.0999999999</v>
      </c>
      <c r="X324" s="36" t="s">
        <v>1084</v>
      </c>
      <c r="Y324" t="s">
        <v>25</v>
      </c>
      <c r="AH324" s="20">
        <v>91</v>
      </c>
      <c r="AI324" s="20" t="s">
        <v>5171</v>
      </c>
      <c r="AJ324" s="117">
        <v>780000</v>
      </c>
      <c r="AK324" s="20">
        <v>0</v>
      </c>
      <c r="AL324" s="20">
        <f t="shared" si="82"/>
        <v>78</v>
      </c>
      <c r="AM324" s="20">
        <f t="shared" si="83"/>
        <v>60840000</v>
      </c>
      <c r="AN324" s="20"/>
    </row>
    <row r="325" spans="17:44">
      <c r="Q325" s="99" t="s">
        <v>4834</v>
      </c>
      <c r="R325" s="95">
        <v>300000</v>
      </c>
      <c r="T325" s="213" t="s">
        <v>5284</v>
      </c>
      <c r="U325" s="213">
        <v>191</v>
      </c>
      <c r="V325" s="113">
        <v>484.572</v>
      </c>
      <c r="W325" s="113">
        <f t="shared" si="81"/>
        <v>92553.252000000008</v>
      </c>
      <c r="X325" s="36" t="s">
        <v>5285</v>
      </c>
      <c r="AH325" s="195">
        <v>92</v>
      </c>
      <c r="AI325" s="195" t="s">
        <v>5171</v>
      </c>
      <c r="AJ325" s="196">
        <v>-300000</v>
      </c>
      <c r="AK325" s="195">
        <v>1</v>
      </c>
      <c r="AL325" s="195">
        <f t="shared" si="82"/>
        <v>78</v>
      </c>
      <c r="AM325" s="195">
        <f t="shared" si="83"/>
        <v>-23400000</v>
      </c>
      <c r="AN325" s="195"/>
    </row>
    <row r="326" spans="17:44">
      <c r="Q326" s="99" t="s">
        <v>979</v>
      </c>
      <c r="R326" s="95">
        <v>1100000</v>
      </c>
      <c r="T326" s="213" t="s">
        <v>5284</v>
      </c>
      <c r="U326" s="213">
        <v>-206</v>
      </c>
      <c r="V326" s="113">
        <v>484.572</v>
      </c>
      <c r="W326" s="113">
        <f t="shared" si="81"/>
        <v>-99821.831999999995</v>
      </c>
      <c r="X326" s="36" t="s">
        <v>5287</v>
      </c>
      <c r="AH326" s="20">
        <v>93</v>
      </c>
      <c r="AI326" s="20" t="s">
        <v>5129</v>
      </c>
      <c r="AJ326" s="117">
        <v>300000</v>
      </c>
      <c r="AK326" s="20">
        <v>0</v>
      </c>
      <c r="AL326" s="20">
        <f t="shared" si="82"/>
        <v>77</v>
      </c>
      <c r="AM326" s="20">
        <f t="shared" si="83"/>
        <v>23100000</v>
      </c>
      <c r="AN326" s="20"/>
    </row>
    <row r="327" spans="17:44">
      <c r="Q327" s="99" t="s">
        <v>4841</v>
      </c>
      <c r="R327" s="95">
        <v>890000</v>
      </c>
      <c r="T327" s="213" t="s">
        <v>5289</v>
      </c>
      <c r="U327" s="213">
        <v>20685</v>
      </c>
      <c r="V327" s="113">
        <v>483.43312200000003</v>
      </c>
      <c r="W327" s="113">
        <f t="shared" si="81"/>
        <v>9999814.1285699997</v>
      </c>
      <c r="X327" s="36" t="s">
        <v>5294</v>
      </c>
      <c r="AH327" s="20">
        <v>94</v>
      </c>
      <c r="AI327" s="20" t="s">
        <v>5129</v>
      </c>
      <c r="AJ327" s="117">
        <v>8660000</v>
      </c>
      <c r="AK327" s="20">
        <v>8</v>
      </c>
      <c r="AL327" s="20">
        <f t="shared" si="82"/>
        <v>77</v>
      </c>
      <c r="AM327" s="20">
        <f t="shared" si="83"/>
        <v>666820000</v>
      </c>
      <c r="AN327" s="20"/>
    </row>
    <row r="328" spans="17:44">
      <c r="Q328" s="99" t="s">
        <v>4861</v>
      </c>
      <c r="R328" s="95">
        <v>1000000</v>
      </c>
      <c r="T328" s="213" t="s">
        <v>5289</v>
      </c>
      <c r="U328" s="213">
        <v>-413</v>
      </c>
      <c r="V328" s="113">
        <v>483.40199999999999</v>
      </c>
      <c r="W328" s="113">
        <f t="shared" si="81"/>
        <v>-199645.02599999998</v>
      </c>
      <c r="X328" s="36" t="s">
        <v>4436</v>
      </c>
      <c r="AH328" s="149">
        <v>95</v>
      </c>
      <c r="AI328" s="149" t="s">
        <v>5193</v>
      </c>
      <c r="AJ328" s="188">
        <v>200000</v>
      </c>
      <c r="AK328" s="149">
        <v>3</v>
      </c>
      <c r="AL328" s="149">
        <f t="shared" si="82"/>
        <v>69</v>
      </c>
      <c r="AM328" s="149">
        <f t="shared" si="83"/>
        <v>13800000</v>
      </c>
      <c r="AN328" s="149"/>
    </row>
    <row r="329" spans="17:44">
      <c r="Q329" s="99" t="s">
        <v>4862</v>
      </c>
      <c r="R329" s="95">
        <v>45436311</v>
      </c>
      <c r="T329" s="213" t="s">
        <v>5289</v>
      </c>
      <c r="U329" s="213">
        <v>413</v>
      </c>
      <c r="V329" s="113">
        <v>483.40199999999999</v>
      </c>
      <c r="W329" s="113">
        <f t="shared" si="81"/>
        <v>199645.02599999998</v>
      </c>
      <c r="X329" s="36" t="s">
        <v>750</v>
      </c>
      <c r="AH329" s="149">
        <v>96</v>
      </c>
      <c r="AI329" s="149" t="s">
        <v>5198</v>
      </c>
      <c r="AJ329" s="188">
        <v>20000</v>
      </c>
      <c r="AK329" s="149">
        <v>1</v>
      </c>
      <c r="AL329" s="149">
        <f t="shared" si="82"/>
        <v>66</v>
      </c>
      <c r="AM329" s="149">
        <f t="shared" si="83"/>
        <v>1320000</v>
      </c>
      <c r="AN329" s="149"/>
    </row>
    <row r="330" spans="17:44">
      <c r="Q330" s="99" t="s">
        <v>4862</v>
      </c>
      <c r="R330" s="95">
        <v>-3500000</v>
      </c>
      <c r="T330" s="213" t="s">
        <v>5298</v>
      </c>
      <c r="U330" s="213">
        <v>-828</v>
      </c>
      <c r="V330" s="113">
        <v>483.43312200000003</v>
      </c>
      <c r="W330" s="113">
        <f t="shared" si="81"/>
        <v>-400282.62501600001</v>
      </c>
      <c r="X330" s="36" t="s">
        <v>452</v>
      </c>
      <c r="AH330" s="20">
        <v>97</v>
      </c>
      <c r="AI330" s="20" t="s">
        <v>5209</v>
      </c>
      <c r="AJ330" s="117">
        <v>14340000</v>
      </c>
      <c r="AK330" s="20">
        <v>7</v>
      </c>
      <c r="AL330" s="20">
        <f t="shared" si="82"/>
        <v>65</v>
      </c>
      <c r="AM330" s="20">
        <f t="shared" si="83"/>
        <v>932100000</v>
      </c>
      <c r="AN330" s="20"/>
    </row>
    <row r="331" spans="17:44">
      <c r="Q331" s="99" t="s">
        <v>4875</v>
      </c>
      <c r="R331" s="95">
        <v>2520000</v>
      </c>
      <c r="T331" s="213" t="s">
        <v>5304</v>
      </c>
      <c r="U331" s="213">
        <v>12</v>
      </c>
      <c r="V331" s="113">
        <v>473.61898300000001</v>
      </c>
      <c r="W331" s="113">
        <f t="shared" si="81"/>
        <v>5683.4277959999999</v>
      </c>
      <c r="X331" s="36" t="s">
        <v>452</v>
      </c>
      <c r="AH331" s="20">
        <v>98</v>
      </c>
      <c r="AI331" s="20" t="s">
        <v>5220</v>
      </c>
      <c r="AJ331" s="117">
        <v>10000000</v>
      </c>
      <c r="AK331" s="20">
        <v>6</v>
      </c>
      <c r="AL331" s="20">
        <f t="shared" si="82"/>
        <v>58</v>
      </c>
      <c r="AM331" s="20">
        <f t="shared" si="83"/>
        <v>580000000</v>
      </c>
      <c r="AN331" s="20" t="s">
        <v>4746</v>
      </c>
    </row>
    <row r="332" spans="17:44">
      <c r="Q332" s="99" t="s">
        <v>4910</v>
      </c>
      <c r="R332" s="95">
        <v>4900000</v>
      </c>
      <c r="S332" s="114"/>
      <c r="T332" s="213" t="s">
        <v>5308</v>
      </c>
      <c r="U332" s="213">
        <v>963</v>
      </c>
      <c r="V332" s="113">
        <v>477.92200000000003</v>
      </c>
      <c r="W332" s="113">
        <f t="shared" si="81"/>
        <v>460238.886</v>
      </c>
      <c r="X332" s="36" t="s">
        <v>452</v>
      </c>
      <c r="Z332" t="s">
        <v>25</v>
      </c>
      <c r="AH332" s="20">
        <v>99</v>
      </c>
      <c r="AI332" s="20" t="s">
        <v>5229</v>
      </c>
      <c r="AJ332" s="117">
        <v>4033949</v>
      </c>
      <c r="AK332" s="20">
        <v>2</v>
      </c>
      <c r="AL332" s="20">
        <f t="shared" si="82"/>
        <v>52</v>
      </c>
      <c r="AM332" s="20">
        <f t="shared" si="83"/>
        <v>209765348</v>
      </c>
      <c r="AN332" s="20" t="s">
        <v>5233</v>
      </c>
      <c r="AR332" t="s">
        <v>25</v>
      </c>
    </row>
    <row r="333" spans="17:44">
      <c r="Q333" s="99" t="s">
        <v>4931</v>
      </c>
      <c r="R333" s="95">
        <v>1150000</v>
      </c>
      <c r="T333" s="213" t="s">
        <v>5309</v>
      </c>
      <c r="U333" s="213">
        <v>2815</v>
      </c>
      <c r="V333" s="113">
        <v>461.79</v>
      </c>
      <c r="W333" s="113">
        <f t="shared" si="81"/>
        <v>1299938.8500000001</v>
      </c>
      <c r="X333" s="36" t="s">
        <v>452</v>
      </c>
      <c r="AH333" s="149">
        <v>100</v>
      </c>
      <c r="AI333" s="149" t="s">
        <v>5238</v>
      </c>
      <c r="AJ333" s="188">
        <v>11500000</v>
      </c>
      <c r="AK333" s="149">
        <v>2</v>
      </c>
      <c r="AL333" s="149">
        <f t="shared" si="82"/>
        <v>50</v>
      </c>
      <c r="AM333" s="149">
        <f t="shared" si="83"/>
        <v>575000000</v>
      </c>
      <c r="AN333" s="149" t="s">
        <v>5241</v>
      </c>
    </row>
    <row r="334" spans="17:44">
      <c r="Q334" s="99" t="s">
        <v>4882</v>
      </c>
      <c r="R334" s="95">
        <v>250000</v>
      </c>
      <c r="T334" s="213" t="s">
        <v>5309</v>
      </c>
      <c r="U334" s="213">
        <v>1581</v>
      </c>
      <c r="V334" s="113">
        <v>461.79</v>
      </c>
      <c r="W334" s="113">
        <f t="shared" si="81"/>
        <v>730089.99</v>
      </c>
      <c r="X334" s="36" t="s">
        <v>452</v>
      </c>
      <c r="AH334" s="149">
        <v>101</v>
      </c>
      <c r="AI334" s="149" t="s">
        <v>5245</v>
      </c>
      <c r="AJ334" s="188">
        <v>250000</v>
      </c>
      <c r="AK334" s="149">
        <v>3</v>
      </c>
      <c r="AL334" s="149">
        <f t="shared" si="82"/>
        <v>48</v>
      </c>
      <c r="AM334" s="149">
        <f t="shared" si="83"/>
        <v>12000000</v>
      </c>
      <c r="AN334" s="149"/>
    </row>
    <row r="335" spans="17:44">
      <c r="Q335" s="99" t="s">
        <v>4972</v>
      </c>
      <c r="R335" s="95">
        <v>1403460</v>
      </c>
      <c r="T335" s="213" t="s">
        <v>5320</v>
      </c>
      <c r="U335" s="213">
        <v>1916</v>
      </c>
      <c r="V335" s="113">
        <v>521.70000000000005</v>
      </c>
      <c r="W335" s="113">
        <f t="shared" si="81"/>
        <v>999577.20000000007</v>
      </c>
      <c r="X335" s="36" t="s">
        <v>1084</v>
      </c>
      <c r="AH335" s="149">
        <v>102</v>
      </c>
      <c r="AI335" s="149" t="s">
        <v>5273</v>
      </c>
      <c r="AJ335" s="188">
        <v>6000000</v>
      </c>
      <c r="AK335" s="149">
        <v>1</v>
      </c>
      <c r="AL335" s="149">
        <f t="shared" si="82"/>
        <v>45</v>
      </c>
      <c r="AM335" s="149">
        <f t="shared" si="83"/>
        <v>270000000</v>
      </c>
      <c r="AN335" s="149" t="s">
        <v>5241</v>
      </c>
    </row>
    <row r="336" spans="17:44">
      <c r="Q336" s="99" t="s">
        <v>4977</v>
      </c>
      <c r="R336" s="95">
        <v>200000</v>
      </c>
      <c r="T336" s="213" t="s">
        <v>990</v>
      </c>
      <c r="U336" s="213">
        <v>41</v>
      </c>
      <c r="V336" s="113">
        <v>514.48099999999999</v>
      </c>
      <c r="W336" s="113">
        <f t="shared" si="81"/>
        <v>21093.721000000001</v>
      </c>
      <c r="X336" s="36" t="s">
        <v>5285</v>
      </c>
      <c r="AH336" s="149">
        <v>103</v>
      </c>
      <c r="AI336" s="149" t="s">
        <v>5278</v>
      </c>
      <c r="AJ336" s="188">
        <v>1500000</v>
      </c>
      <c r="AK336" s="149">
        <v>6</v>
      </c>
      <c r="AL336" s="149">
        <f t="shared" si="82"/>
        <v>44</v>
      </c>
      <c r="AM336" s="149">
        <f t="shared" si="83"/>
        <v>66000000</v>
      </c>
      <c r="AN336" s="149" t="s">
        <v>5241</v>
      </c>
      <c r="AR336" t="s">
        <v>25</v>
      </c>
    </row>
    <row r="337" spans="17:46">
      <c r="Q337" s="99" t="s">
        <v>4983</v>
      </c>
      <c r="R337" s="95">
        <v>345000</v>
      </c>
      <c r="T337" s="213" t="s">
        <v>4272</v>
      </c>
      <c r="U337" s="213">
        <v>71</v>
      </c>
      <c r="V337" s="113">
        <v>482.57</v>
      </c>
      <c r="W337" s="113">
        <f t="shared" si="81"/>
        <v>34262.47</v>
      </c>
      <c r="X337" s="36" t="s">
        <v>5285</v>
      </c>
      <c r="AH337" s="20">
        <v>104</v>
      </c>
      <c r="AI337" s="20" t="s">
        <v>973</v>
      </c>
      <c r="AJ337" s="117">
        <v>-3960043</v>
      </c>
      <c r="AK337" s="20">
        <v>2</v>
      </c>
      <c r="AL337" s="20">
        <f t="shared" si="82"/>
        <v>38</v>
      </c>
      <c r="AM337" s="20">
        <f t="shared" si="83"/>
        <v>-150481634</v>
      </c>
      <c r="AN337" s="20"/>
      <c r="AS337" t="s">
        <v>25</v>
      </c>
    </row>
    <row r="338" spans="17:46">
      <c r="Q338" s="99" t="s">
        <v>4988</v>
      </c>
      <c r="R338" s="95">
        <v>900000</v>
      </c>
      <c r="T338" s="213" t="s">
        <v>5347</v>
      </c>
      <c r="U338" s="213">
        <v>-250</v>
      </c>
      <c r="V338" s="113">
        <v>487.125</v>
      </c>
      <c r="W338" s="113">
        <f t="shared" si="81"/>
        <v>-121781.25</v>
      </c>
      <c r="X338" s="36" t="s">
        <v>4436</v>
      </c>
      <c r="AH338" s="20">
        <v>105</v>
      </c>
      <c r="AI338" s="20" t="s">
        <v>5308</v>
      </c>
      <c r="AJ338" s="117">
        <v>230000</v>
      </c>
      <c r="AK338" s="20">
        <v>0</v>
      </c>
      <c r="AL338" s="20">
        <f t="shared" si="82"/>
        <v>36</v>
      </c>
      <c r="AM338" s="20">
        <f t="shared" si="83"/>
        <v>8280000</v>
      </c>
      <c r="AN338" s="20"/>
      <c r="AR338" t="s">
        <v>25</v>
      </c>
      <c r="AT338" s="96" t="s">
        <v>25</v>
      </c>
    </row>
    <row r="339" spans="17:46">
      <c r="Q339" s="99" t="s">
        <v>4992</v>
      </c>
      <c r="R339" s="95">
        <v>372517</v>
      </c>
      <c r="T339" s="213" t="s">
        <v>5347</v>
      </c>
      <c r="U339" s="213">
        <v>250</v>
      </c>
      <c r="V339" s="113">
        <v>487.125</v>
      </c>
      <c r="W339" s="113">
        <f t="shared" si="81"/>
        <v>121781.25</v>
      </c>
      <c r="X339" s="36" t="s">
        <v>750</v>
      </c>
      <c r="AH339" s="149">
        <v>106</v>
      </c>
      <c r="AI339" s="149" t="s">
        <v>5308</v>
      </c>
      <c r="AJ339" s="188">
        <v>230000</v>
      </c>
      <c r="AK339" s="149">
        <v>1</v>
      </c>
      <c r="AL339" s="149">
        <f t="shared" ref="AL339:AL343" si="84">AK339+AL340</f>
        <v>36</v>
      </c>
      <c r="AM339" s="149">
        <f t="shared" ref="AM339:AM343" si="85">AJ339*AL339</f>
        <v>8280000</v>
      </c>
      <c r="AN339" s="149"/>
      <c r="AS339" t="s">
        <v>25</v>
      </c>
    </row>
    <row r="340" spans="17:46">
      <c r="Q340" s="99" t="s">
        <v>5003</v>
      </c>
      <c r="R340" s="95">
        <v>6489257</v>
      </c>
      <c r="T340" s="213" t="s">
        <v>5358</v>
      </c>
      <c r="U340" s="213">
        <v>-1439</v>
      </c>
      <c r="V340" s="113">
        <v>486.53068999999999</v>
      </c>
      <c r="W340" s="113">
        <f t="shared" si="81"/>
        <v>-700117.66290999996</v>
      </c>
      <c r="X340" s="36" t="s">
        <v>4436</v>
      </c>
      <c r="AH340" s="149">
        <v>107</v>
      </c>
      <c r="AI340" s="149" t="s">
        <v>5309</v>
      </c>
      <c r="AJ340" s="188">
        <v>500000</v>
      </c>
      <c r="AK340" s="149">
        <v>1</v>
      </c>
      <c r="AL340" s="149">
        <f t="shared" si="84"/>
        <v>35</v>
      </c>
      <c r="AM340" s="149">
        <f t="shared" si="85"/>
        <v>17500000</v>
      </c>
      <c r="AN340" s="149"/>
    </row>
    <row r="341" spans="17:46">
      <c r="Q341" s="99" t="s">
        <v>5056</v>
      </c>
      <c r="R341" s="95">
        <v>618000</v>
      </c>
      <c r="T341" s="213" t="s">
        <v>5358</v>
      </c>
      <c r="U341" s="213">
        <v>411</v>
      </c>
      <c r="V341" s="113">
        <v>486.53068999999999</v>
      </c>
      <c r="W341" s="113">
        <f t="shared" si="81"/>
        <v>199964.11358999999</v>
      </c>
      <c r="X341" s="36" t="s">
        <v>750</v>
      </c>
      <c r="AH341" s="20">
        <v>108</v>
      </c>
      <c r="AI341" s="20" t="s">
        <v>5315</v>
      </c>
      <c r="AJ341" s="117">
        <v>-880000</v>
      </c>
      <c r="AK341" s="20">
        <v>4</v>
      </c>
      <c r="AL341" s="20">
        <f t="shared" si="84"/>
        <v>34</v>
      </c>
      <c r="AM341" s="20">
        <f t="shared" si="85"/>
        <v>-29920000</v>
      </c>
      <c r="AN341" s="20"/>
    </row>
    <row r="342" spans="17:46">
      <c r="Q342" s="99" t="s">
        <v>5070</v>
      </c>
      <c r="R342" s="95">
        <v>20105000</v>
      </c>
      <c r="T342" s="213" t="s">
        <v>5307</v>
      </c>
      <c r="U342" s="213">
        <v>-4290</v>
      </c>
      <c r="V342" s="113">
        <v>497.57670000000002</v>
      </c>
      <c r="W342" s="113">
        <f t="shared" si="81"/>
        <v>-2134604.0430000001</v>
      </c>
      <c r="X342" s="36" t="s">
        <v>452</v>
      </c>
      <c r="AH342" s="195">
        <v>109</v>
      </c>
      <c r="AI342" s="195" t="s">
        <v>5320</v>
      </c>
      <c r="AJ342" s="196">
        <v>873000</v>
      </c>
      <c r="AK342" s="195">
        <v>0</v>
      </c>
      <c r="AL342" s="195">
        <f t="shared" si="84"/>
        <v>30</v>
      </c>
      <c r="AM342" s="195">
        <f t="shared" si="85"/>
        <v>26190000</v>
      </c>
      <c r="AN342" s="195" t="s">
        <v>5241</v>
      </c>
    </row>
    <row r="343" spans="17:46">
      <c r="Q343" s="99" t="s">
        <v>5075</v>
      </c>
      <c r="R343" s="95">
        <v>-21079990</v>
      </c>
      <c r="T343" s="213" t="s">
        <v>5371</v>
      </c>
      <c r="U343" s="213">
        <v>-644</v>
      </c>
      <c r="V343" s="113">
        <v>494.76464499999997</v>
      </c>
      <c r="W343" s="113">
        <f t="shared" si="81"/>
        <v>-318628.43137999997</v>
      </c>
      <c r="X343" s="36" t="s">
        <v>452</v>
      </c>
      <c r="AH343" s="20">
        <v>110</v>
      </c>
      <c r="AI343" s="20" t="s">
        <v>5320</v>
      </c>
      <c r="AJ343" s="117">
        <v>127000</v>
      </c>
      <c r="AK343" s="20">
        <v>0</v>
      </c>
      <c r="AL343" s="20">
        <f t="shared" si="84"/>
        <v>30</v>
      </c>
      <c r="AM343" s="20">
        <f t="shared" si="85"/>
        <v>3810000</v>
      </c>
      <c r="AN343" s="20" t="s">
        <v>5241</v>
      </c>
    </row>
    <row r="344" spans="17:46">
      <c r="Q344" s="99" t="s">
        <v>5076</v>
      </c>
      <c r="R344" s="95">
        <v>-5949277</v>
      </c>
      <c r="T344" s="213" t="s">
        <v>5375</v>
      </c>
      <c r="U344" s="213">
        <v>-112</v>
      </c>
      <c r="V344" s="113">
        <v>485.78</v>
      </c>
      <c r="W344" s="113">
        <f t="shared" si="81"/>
        <v>-54407.360000000001</v>
      </c>
      <c r="X344" s="36" t="s">
        <v>452</v>
      </c>
      <c r="AH344" s="20">
        <v>111</v>
      </c>
      <c r="AI344" s="20" t="s">
        <v>5320</v>
      </c>
      <c r="AJ344" s="117">
        <v>73000</v>
      </c>
      <c r="AK344" s="20">
        <v>1</v>
      </c>
      <c r="AL344" s="20">
        <f t="shared" ref="AL344:AL348" si="86">AK344+AL345</f>
        <v>30</v>
      </c>
      <c r="AM344" s="20">
        <f t="shared" ref="AM344:AM348" si="87">AJ344*AL344</f>
        <v>2190000</v>
      </c>
      <c r="AN344" s="20"/>
    </row>
    <row r="345" spans="17:46">
      <c r="Q345" s="99" t="s">
        <v>5083</v>
      </c>
      <c r="R345" s="95">
        <v>-15370656</v>
      </c>
      <c r="T345" s="213" t="s">
        <v>5375</v>
      </c>
      <c r="U345" s="213">
        <v>123</v>
      </c>
      <c r="V345" s="113">
        <v>485.78</v>
      </c>
      <c r="W345" s="113">
        <f t="shared" si="81"/>
        <v>59750.939999999995</v>
      </c>
      <c r="X345" s="36" t="s">
        <v>750</v>
      </c>
      <c r="AH345" s="20">
        <v>112</v>
      </c>
      <c r="AI345" s="20" t="s">
        <v>990</v>
      </c>
      <c r="AJ345" s="117">
        <v>4300000</v>
      </c>
      <c r="AK345" s="20">
        <v>1</v>
      </c>
      <c r="AL345" s="20">
        <f t="shared" si="86"/>
        <v>29</v>
      </c>
      <c r="AM345" s="20">
        <f t="shared" si="87"/>
        <v>124700000</v>
      </c>
      <c r="AN345" s="20"/>
    </row>
    <row r="346" spans="17:46">
      <c r="Q346" s="99" t="s">
        <v>5090</v>
      </c>
      <c r="R346" s="95">
        <v>4960000</v>
      </c>
      <c r="T346" s="213" t="s">
        <v>5375</v>
      </c>
      <c r="U346" s="213">
        <v>-123</v>
      </c>
      <c r="V346" s="113">
        <v>485.78</v>
      </c>
      <c r="W346" s="113">
        <f t="shared" si="81"/>
        <v>-59750.939999999995</v>
      </c>
      <c r="X346" s="36" t="s">
        <v>4436</v>
      </c>
      <c r="AA346" t="s">
        <v>25</v>
      </c>
      <c r="AH346" s="20">
        <v>113</v>
      </c>
      <c r="AI346" s="20" t="s">
        <v>5146</v>
      </c>
      <c r="AJ346" s="117">
        <v>1600000</v>
      </c>
      <c r="AK346" s="20">
        <v>0</v>
      </c>
      <c r="AL346" s="20">
        <f t="shared" si="86"/>
        <v>28</v>
      </c>
      <c r="AM346" s="20">
        <f t="shared" si="87"/>
        <v>44800000</v>
      </c>
      <c r="AN346" s="20"/>
    </row>
    <row r="347" spans="17:46">
      <c r="Q347" s="99" t="s">
        <v>5090</v>
      </c>
      <c r="R347" s="95">
        <v>10000000</v>
      </c>
      <c r="T347" s="168"/>
      <c r="U347" s="168"/>
      <c r="V347" s="113"/>
      <c r="W347" s="113"/>
      <c r="X347" s="99"/>
      <c r="AH347" s="20">
        <v>114</v>
      </c>
      <c r="AI347" s="20" t="s">
        <v>4272</v>
      </c>
      <c r="AJ347" s="117">
        <v>-10000000</v>
      </c>
      <c r="AK347" s="20">
        <v>1</v>
      </c>
      <c r="AL347" s="20">
        <f t="shared" si="86"/>
        <v>28</v>
      </c>
      <c r="AM347" s="20">
        <f t="shared" si="87"/>
        <v>-280000000</v>
      </c>
      <c r="AN347" s="20" t="s">
        <v>5333</v>
      </c>
    </row>
    <row r="348" spans="17:46">
      <c r="Q348" s="99" t="s">
        <v>5099</v>
      </c>
      <c r="R348" s="95">
        <v>-40570100</v>
      </c>
      <c r="T348" s="168"/>
      <c r="U348" s="168">
        <f>SUM(U208:U347)</f>
        <v>3653717</v>
      </c>
      <c r="V348" s="99"/>
      <c r="W348" s="99"/>
      <c r="X348" s="99"/>
      <c r="AH348" s="20">
        <v>115</v>
      </c>
      <c r="AI348" s="20" t="s">
        <v>5332</v>
      </c>
      <c r="AJ348" s="117">
        <v>571000</v>
      </c>
      <c r="AK348" s="20">
        <v>4</v>
      </c>
      <c r="AL348" s="20">
        <f t="shared" si="86"/>
        <v>27</v>
      </c>
      <c r="AM348" s="20">
        <f t="shared" si="87"/>
        <v>15417000</v>
      </c>
      <c r="AN348" s="20"/>
    </row>
    <row r="349" spans="17:46">
      <c r="Q349" s="99" t="s">
        <v>5115</v>
      </c>
      <c r="R349" s="95">
        <v>1000000</v>
      </c>
      <c r="T349" s="99"/>
      <c r="U349" s="99" t="s">
        <v>6</v>
      </c>
      <c r="V349" s="99"/>
      <c r="W349" s="99"/>
      <c r="X349" s="99"/>
      <c r="AH349" s="20">
        <v>116</v>
      </c>
      <c r="AI349" s="20" t="s">
        <v>5337</v>
      </c>
      <c r="AJ349" s="117">
        <v>200000</v>
      </c>
      <c r="AK349" s="20">
        <v>3</v>
      </c>
      <c r="AL349" s="20">
        <f t="shared" ref="AL349:AL362" si="88">AK349+AL350</f>
        <v>23</v>
      </c>
      <c r="AM349" s="20">
        <f t="shared" ref="AM349:AM362" si="89">AJ349*AL349</f>
        <v>4600000</v>
      </c>
      <c r="AN349" s="20"/>
    </row>
    <row r="350" spans="17:46">
      <c r="Q350" s="99" t="s">
        <v>5116</v>
      </c>
      <c r="R350" s="95">
        <v>400000</v>
      </c>
      <c r="T350" s="200" t="s">
        <v>4472</v>
      </c>
      <c r="AH350" s="149">
        <v>117</v>
      </c>
      <c r="AI350" s="149" t="s">
        <v>5347</v>
      </c>
      <c r="AJ350" s="188">
        <v>50000</v>
      </c>
      <c r="AK350" s="149">
        <v>7</v>
      </c>
      <c r="AL350" s="149">
        <f t="shared" si="88"/>
        <v>20</v>
      </c>
      <c r="AM350" s="149">
        <f t="shared" si="89"/>
        <v>1000000</v>
      </c>
      <c r="AN350" s="149"/>
    </row>
    <row r="351" spans="17:46">
      <c r="Q351" s="99" t="s">
        <v>5123</v>
      </c>
      <c r="R351" s="95">
        <v>120000</v>
      </c>
      <c r="T351" s="199">
        <f>R221/U348</f>
        <v>530.47558374115999</v>
      </c>
      <c r="AH351" s="20">
        <v>118</v>
      </c>
      <c r="AI351" s="20" t="s">
        <v>5358</v>
      </c>
      <c r="AJ351" s="117">
        <v>-500000</v>
      </c>
      <c r="AK351" s="20">
        <v>12</v>
      </c>
      <c r="AL351" s="20">
        <f t="shared" si="88"/>
        <v>13</v>
      </c>
      <c r="AM351" s="20">
        <f t="shared" si="89"/>
        <v>-6500000</v>
      </c>
      <c r="AN351" s="20"/>
    </row>
    <row r="352" spans="17:46">
      <c r="Q352" s="99" t="s">
        <v>5142</v>
      </c>
      <c r="R352" s="95">
        <v>500000</v>
      </c>
      <c r="W352" s="114"/>
      <c r="AH352" s="149">
        <v>119</v>
      </c>
      <c r="AI352" s="149" t="s">
        <v>989</v>
      </c>
      <c r="AJ352" s="188">
        <v>-50000</v>
      </c>
      <c r="AK352" s="149">
        <v>0</v>
      </c>
      <c r="AL352" s="149">
        <f t="shared" si="88"/>
        <v>1</v>
      </c>
      <c r="AM352" s="149">
        <f t="shared" si="89"/>
        <v>-50000</v>
      </c>
      <c r="AN352" s="149"/>
    </row>
    <row r="353" spans="17:45">
      <c r="Q353" s="99" t="s">
        <v>5128</v>
      </c>
      <c r="R353" s="95">
        <v>744000</v>
      </c>
      <c r="U353" s="96" t="s">
        <v>267</v>
      </c>
      <c r="V353" t="s">
        <v>4473</v>
      </c>
      <c r="X353" t="s">
        <v>25</v>
      </c>
      <c r="AH353" s="20">
        <v>120</v>
      </c>
      <c r="AI353" s="20" t="s">
        <v>989</v>
      </c>
      <c r="AJ353" s="117">
        <v>-50000</v>
      </c>
      <c r="AK353" s="20">
        <v>1</v>
      </c>
      <c r="AL353" s="20">
        <f t="shared" si="88"/>
        <v>1</v>
      </c>
      <c r="AM353" s="20">
        <f t="shared" si="89"/>
        <v>-50000</v>
      </c>
      <c r="AN353" s="20"/>
    </row>
    <row r="354" spans="17:45">
      <c r="Q354" s="99" t="s">
        <v>5158</v>
      </c>
      <c r="R354" s="95">
        <v>65000</v>
      </c>
      <c r="T354" s="114"/>
      <c r="U354" s="113">
        <v>60000</v>
      </c>
      <c r="V354">
        <f>U354/T351</f>
        <v>113.10605396171518</v>
      </c>
      <c r="X354" t="s">
        <v>25</v>
      </c>
      <c r="AH354" s="20"/>
      <c r="AI354" s="20"/>
      <c r="AJ354" s="117"/>
      <c r="AK354" s="20"/>
      <c r="AL354" s="20">
        <f t="shared" si="88"/>
        <v>0</v>
      </c>
      <c r="AM354" s="20">
        <f t="shared" si="89"/>
        <v>0</v>
      </c>
      <c r="AN354" s="20"/>
    </row>
    <row r="355" spans="17:45">
      <c r="Q355" s="99" t="s">
        <v>5166</v>
      </c>
      <c r="R355" s="95">
        <v>-14053702</v>
      </c>
      <c r="X355" t="s">
        <v>25</v>
      </c>
      <c r="AH355" s="20"/>
      <c r="AI355" s="20"/>
      <c r="AJ355" s="117"/>
      <c r="AK355" s="20"/>
      <c r="AL355" s="20">
        <f t="shared" si="88"/>
        <v>0</v>
      </c>
      <c r="AM355" s="20">
        <f t="shared" si="89"/>
        <v>0</v>
      </c>
      <c r="AN355" s="20"/>
    </row>
    <row r="356" spans="17:45" ht="30">
      <c r="Q356" s="99" t="s">
        <v>5129</v>
      </c>
      <c r="R356" s="95">
        <v>3555678</v>
      </c>
      <c r="V356" s="22" t="s">
        <v>5319</v>
      </c>
      <c r="W356" s="223"/>
      <c r="X356" s="96" t="s">
        <v>25</v>
      </c>
      <c r="Y356" t="s">
        <v>25</v>
      </c>
      <c r="AH356" s="20"/>
      <c r="AI356" s="20"/>
      <c r="AJ356" s="117"/>
      <c r="AK356" s="20"/>
      <c r="AL356" s="20">
        <f t="shared" si="88"/>
        <v>0</v>
      </c>
      <c r="AM356" s="20">
        <f t="shared" si="89"/>
        <v>0</v>
      </c>
      <c r="AN356" s="20"/>
    </row>
    <row r="357" spans="17:45">
      <c r="Q357" s="99" t="s">
        <v>5211</v>
      </c>
      <c r="R357" s="95">
        <v>3495</v>
      </c>
      <c r="W357" s="96" t="s">
        <v>25</v>
      </c>
      <c r="X357" t="s">
        <v>25</v>
      </c>
      <c r="Y357" t="s">
        <v>25</v>
      </c>
      <c r="AH357" s="20"/>
      <c r="AI357" s="20"/>
      <c r="AJ357" s="117"/>
      <c r="AK357" s="20"/>
      <c r="AL357" s="20">
        <f t="shared" si="88"/>
        <v>0</v>
      </c>
      <c r="AM357" s="20">
        <f t="shared" si="89"/>
        <v>0</v>
      </c>
      <c r="AN357" s="20"/>
    </row>
    <row r="358" spans="17:45">
      <c r="Q358" s="99" t="s">
        <v>5220</v>
      </c>
      <c r="R358" s="95">
        <v>6000000</v>
      </c>
      <c r="X358" t="s">
        <v>25</v>
      </c>
      <c r="AH358" s="20"/>
      <c r="AI358" s="20"/>
      <c r="AJ358" s="117"/>
      <c r="AK358" s="20"/>
      <c r="AL358" s="20">
        <f t="shared" si="88"/>
        <v>0</v>
      </c>
      <c r="AM358" s="20">
        <f t="shared" si="89"/>
        <v>0</v>
      </c>
      <c r="AN358" s="20"/>
      <c r="AS358" t="s">
        <v>25</v>
      </c>
    </row>
    <row r="359" spans="17:45" ht="60">
      <c r="Q359" s="99" t="s">
        <v>5226</v>
      </c>
      <c r="R359" s="95">
        <v>17220</v>
      </c>
      <c r="S359" s="114"/>
      <c r="T359" s="22" t="s">
        <v>4456</v>
      </c>
      <c r="V359" s="223"/>
      <c r="X359" t="s">
        <v>25</v>
      </c>
      <c r="Y359" t="s">
        <v>25</v>
      </c>
      <c r="AH359" s="20"/>
      <c r="AI359" s="20"/>
      <c r="AJ359" s="117"/>
      <c r="AK359" s="20"/>
      <c r="AL359" s="20">
        <f t="shared" si="88"/>
        <v>0</v>
      </c>
      <c r="AM359" s="20">
        <f t="shared" si="89"/>
        <v>0</v>
      </c>
      <c r="AN359" s="20"/>
    </row>
    <row r="360" spans="17:45" ht="45">
      <c r="Q360" s="99" t="s">
        <v>5227</v>
      </c>
      <c r="R360" s="95">
        <v>8249</v>
      </c>
      <c r="T360" s="22" t="s">
        <v>4457</v>
      </c>
      <c r="Y360" t="s">
        <v>25</v>
      </c>
      <c r="AH360" s="20"/>
      <c r="AI360" s="20"/>
      <c r="AJ360" s="117"/>
      <c r="AK360" s="20"/>
      <c r="AL360" s="20">
        <f t="shared" si="88"/>
        <v>0</v>
      </c>
      <c r="AM360" s="20">
        <f t="shared" si="89"/>
        <v>0</v>
      </c>
      <c r="AN360" s="20"/>
    </row>
    <row r="361" spans="17:45">
      <c r="Q361" s="99" t="s">
        <v>5229</v>
      </c>
      <c r="R361" s="95">
        <v>6937</v>
      </c>
      <c r="AH361" s="20"/>
      <c r="AI361" s="20"/>
      <c r="AJ361" s="117"/>
      <c r="AK361" s="20"/>
      <c r="AL361" s="20">
        <f t="shared" si="88"/>
        <v>0</v>
      </c>
      <c r="AM361" s="20">
        <f t="shared" si="89"/>
        <v>0</v>
      </c>
      <c r="AN361" s="20"/>
    </row>
    <row r="362" spans="17:45">
      <c r="Q362" s="99" t="s">
        <v>5229</v>
      </c>
      <c r="R362" s="95">
        <v>4046552</v>
      </c>
      <c r="AH362" s="99"/>
      <c r="AI362" s="99"/>
      <c r="AJ362" s="117"/>
      <c r="AK362" s="99"/>
      <c r="AL362" s="20">
        <f t="shared" si="88"/>
        <v>0</v>
      </c>
      <c r="AM362" s="20">
        <f t="shared" si="89"/>
        <v>0</v>
      </c>
      <c r="AN362" s="20"/>
    </row>
    <row r="363" spans="17:45">
      <c r="Q363" s="99" t="s">
        <v>5234</v>
      </c>
      <c r="R363" s="95">
        <v>-3884943</v>
      </c>
      <c r="T363" s="99" t="s">
        <v>4474</v>
      </c>
      <c r="U363" s="99" t="s">
        <v>4446</v>
      </c>
      <c r="V363" s="99" t="s">
        <v>951</v>
      </c>
      <c r="W363" s="74"/>
      <c r="AH363" s="99"/>
      <c r="AI363" s="99"/>
      <c r="AJ363" s="117"/>
      <c r="AK363" s="99"/>
      <c r="AL363" s="20">
        <f t="shared" si="82"/>
        <v>0</v>
      </c>
      <c r="AM363" s="20">
        <f t="shared" si="83"/>
        <v>0</v>
      </c>
      <c r="AN363" s="99"/>
    </row>
    <row r="364" spans="17:45">
      <c r="Q364" s="99" t="s">
        <v>5245</v>
      </c>
      <c r="R364" s="95">
        <v>6022</v>
      </c>
      <c r="T364" s="95">
        <f>S250+R297+R380</f>
        <v>928559366</v>
      </c>
      <c r="U364" s="95">
        <f>R221</f>
        <v>1938207658.3999999</v>
      </c>
      <c r="V364" s="95">
        <f>U364-T364</f>
        <v>1009648292.3999999</v>
      </c>
      <c r="AH364" s="99"/>
      <c r="AI364" s="99"/>
      <c r="AJ364" s="95">
        <f>SUM(AJ234:AJ363)</f>
        <v>452087852</v>
      </c>
      <c r="AK364" s="99"/>
      <c r="AL364" s="99"/>
      <c r="AM364" s="99">
        <f>SUM(AM234:AM363)</f>
        <v>102639595731</v>
      </c>
      <c r="AN364" s="95">
        <f>AM364*AN220/31</f>
        <v>55183682.001566999</v>
      </c>
    </row>
    <row r="365" spans="17:45">
      <c r="Q365" s="99" t="s">
        <v>5278</v>
      </c>
      <c r="R365" s="95">
        <v>400000</v>
      </c>
      <c r="AJ365" t="s">
        <v>4056</v>
      </c>
      <c r="AM365" t="s">
        <v>284</v>
      </c>
      <c r="AN365" t="s">
        <v>941</v>
      </c>
    </row>
    <row r="366" spans="17:45">
      <c r="Q366" s="99" t="s">
        <v>5284</v>
      </c>
      <c r="R366" s="95">
        <v>92847</v>
      </c>
    </row>
    <row r="367" spans="17:45">
      <c r="Q367" s="99" t="s">
        <v>5284</v>
      </c>
      <c r="R367" s="95">
        <v>-100000</v>
      </c>
      <c r="AI367" t="s">
        <v>4058</v>
      </c>
      <c r="AJ367" s="114">
        <f>AJ364+AN364</f>
        <v>507271534.00156701</v>
      </c>
    </row>
    <row r="368" spans="17:45">
      <c r="Q368" s="99" t="s">
        <v>5289</v>
      </c>
      <c r="R368" s="95">
        <v>10000000</v>
      </c>
      <c r="AI368" t="s">
        <v>4061</v>
      </c>
      <c r="AJ368" s="114">
        <f>SUM(N20:N31)</f>
        <v>830592415.69999993</v>
      </c>
    </row>
    <row r="369" spans="17:40">
      <c r="Q369" s="99" t="s">
        <v>5298</v>
      </c>
      <c r="R369" s="95">
        <v>-400000</v>
      </c>
      <c r="T369" t="s">
        <v>25</v>
      </c>
      <c r="AI369" t="s">
        <v>4133</v>
      </c>
      <c r="AJ369" s="114">
        <f>AJ368-AJ364</f>
        <v>378504563.69999993</v>
      </c>
    </row>
    <row r="370" spans="17:40">
      <c r="Q370" s="99" t="s">
        <v>5306</v>
      </c>
      <c r="R370" s="95">
        <v>5649</v>
      </c>
      <c r="T370" t="s">
        <v>25</v>
      </c>
      <c r="AI370" t="s">
        <v>941</v>
      </c>
      <c r="AJ370" s="114">
        <f>AN364</f>
        <v>55183682.001566999</v>
      </c>
    </row>
    <row r="371" spans="17:40">
      <c r="Q371" s="99" t="s">
        <v>5308</v>
      </c>
      <c r="R371" s="95">
        <v>460000</v>
      </c>
      <c r="AI371" t="s">
        <v>4062</v>
      </c>
      <c r="AJ371" s="114">
        <f>AJ369-AJ370</f>
        <v>323320881.69843292</v>
      </c>
      <c r="AM371" t="s">
        <v>25</v>
      </c>
      <c r="AN371" t="s">
        <v>25</v>
      </c>
    </row>
    <row r="372" spans="17:40">
      <c r="Q372" s="99" t="s">
        <v>5309</v>
      </c>
      <c r="R372" s="95">
        <v>1300000</v>
      </c>
      <c r="T372" t="s">
        <v>25</v>
      </c>
      <c r="AN372" t="s">
        <v>25</v>
      </c>
    </row>
    <row r="373" spans="17:40">
      <c r="Q373" s="99" t="s">
        <v>5309</v>
      </c>
      <c r="R373" s="95">
        <v>7300000</v>
      </c>
      <c r="T373" t="s">
        <v>25</v>
      </c>
    </row>
    <row r="374" spans="17:40">
      <c r="Q374" s="99" t="s">
        <v>990</v>
      </c>
      <c r="R374" s="95">
        <v>21203</v>
      </c>
    </row>
    <row r="375" spans="17:40">
      <c r="Q375" s="99" t="s">
        <v>4272</v>
      </c>
      <c r="R375" s="95">
        <v>34550</v>
      </c>
      <c r="AN375" t="s">
        <v>25</v>
      </c>
    </row>
    <row r="376" spans="17:40">
      <c r="Q376" s="99" t="s">
        <v>5307</v>
      </c>
      <c r="R376" s="95">
        <v>-2134406</v>
      </c>
      <c r="T376" t="s">
        <v>25</v>
      </c>
      <c r="AN376" t="s">
        <v>25</v>
      </c>
    </row>
    <row r="377" spans="17:40">
      <c r="Q377" s="99" t="s">
        <v>5371</v>
      </c>
      <c r="R377" s="95">
        <v>-618906</v>
      </c>
      <c r="T377" t="s">
        <v>25</v>
      </c>
    </row>
    <row r="378" spans="17:40">
      <c r="Q378" s="99" t="s">
        <v>5375</v>
      </c>
      <c r="R378" s="95">
        <v>-54615</v>
      </c>
      <c r="W378" s="96" t="s">
        <v>25</v>
      </c>
    </row>
    <row r="379" spans="17:40">
      <c r="Q379" s="99"/>
      <c r="R379" s="95"/>
      <c r="T379" t="s">
        <v>25</v>
      </c>
    </row>
    <row r="380" spans="17:40">
      <c r="Q380" s="99"/>
      <c r="R380" s="95">
        <f>SUM(R302:R379)</f>
        <v>399226986</v>
      </c>
      <c r="T380" t="s">
        <v>25</v>
      </c>
    </row>
    <row r="381" spans="17:40">
      <c r="Q381" s="99"/>
      <c r="R381" s="99" t="s">
        <v>6</v>
      </c>
      <c r="T381" t="s">
        <v>25</v>
      </c>
    </row>
    <row r="382" spans="17:40">
      <c r="T382" t="s">
        <v>25</v>
      </c>
      <c r="U382" s="96" t="s">
        <v>25</v>
      </c>
    </row>
    <row r="383" spans="17:40">
      <c r="T383" t="s">
        <v>25</v>
      </c>
    </row>
    <row r="384" spans="17:40">
      <c r="S384" t="s">
        <v>25</v>
      </c>
      <c r="T384" t="s">
        <v>25</v>
      </c>
    </row>
    <row r="385" spans="18:21">
      <c r="T385" t="s">
        <v>25</v>
      </c>
    </row>
    <row r="386" spans="18:21">
      <c r="T386" t="s">
        <v>25</v>
      </c>
    </row>
    <row r="387" spans="18:21">
      <c r="R387" t="s">
        <v>25</v>
      </c>
    </row>
    <row r="388" spans="18:21">
      <c r="T388" t="s">
        <v>25</v>
      </c>
    </row>
    <row r="389" spans="18:21">
      <c r="R389" t="s">
        <v>25</v>
      </c>
      <c r="T389" t="s">
        <v>25</v>
      </c>
    </row>
    <row r="391" spans="18:21">
      <c r="U39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5 S32 G119 S142 S151 S92 S157 S159 P25 S46:S47 M105 S49 P29 S62:S63 P23 S179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2019-12-21T13:24:15Z</dcterms:modified>
</cp:coreProperties>
</file>