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3"/>
  </bookViews>
  <sheets>
    <sheet name="سکه" sheetId="36" r:id="rId1"/>
    <sheet name="فروردین 97" sheetId="34" r:id="rId2"/>
    <sheet name="سارا" sheetId="20" r:id="rId3"/>
    <sheet name="مسکن مریم یاران" sheetId="13" r:id="rId4"/>
    <sheet name="مسکن علی سید الشهدا" sheetId="16" r:id="rId5"/>
    <sheet name="مسکن ایلیا" sheetId="15" r:id="rId6"/>
    <sheet name="برنامه 5 ساله" sheetId="18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لیست خرید و فروش" sheetId="32" r:id="rId33"/>
    <sheet name="اوراق بدون ریسک" sheetId="33" r:id="rId34"/>
    <sheet name="نکات" sheetId="35" r:id="rId35"/>
  </sheets>
  <calcPr calcId="145621"/>
</workbook>
</file>

<file path=xl/calcChain.xml><?xml version="1.0" encoding="utf-8"?>
<calcChain xmlns="http://schemas.openxmlformats.org/spreadsheetml/2006/main">
  <c r="C6" i="36" l="1"/>
  <c r="D6" i="36"/>
  <c r="E6" i="36" s="1"/>
  <c r="F6" i="36" s="1"/>
  <c r="B6" i="36"/>
  <c r="C5" i="36"/>
  <c r="D5" i="36" s="1"/>
  <c r="E5" i="36" s="1"/>
  <c r="F5" i="36" s="1"/>
  <c r="B5" i="36"/>
  <c r="L14" i="36"/>
  <c r="L9" i="36"/>
  <c r="N8" i="18"/>
  <c r="N6" i="18"/>
  <c r="G45" i="10"/>
  <c r="N28" i="18"/>
  <c r="D42" i="34"/>
  <c r="N25" i="18" l="1"/>
  <c r="L24" i="18"/>
  <c r="T22" i="36"/>
  <c r="U22" i="36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5" i="36" s="1"/>
  <c r="A19" i="36" s="1"/>
  <c r="A11" i="36"/>
  <c r="F15" i="36"/>
  <c r="F19" i="36" s="1"/>
  <c r="B12" i="36"/>
  <c r="B15" i="36" s="1"/>
  <c r="B19" i="36" s="1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A9" i="36"/>
  <c r="B8" i="36"/>
  <c r="C8" i="36"/>
  <c r="D8" i="36"/>
  <c r="E8" i="36"/>
  <c r="F8" i="36"/>
  <c r="A8" i="36"/>
  <c r="E15" i="36" l="1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S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E16" i="18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X32" i="32" l="1"/>
  <c r="AC15" i="33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4" i="13" l="1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L8" i="32" l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F196" i="15" l="1"/>
  <c r="F194" i="15"/>
  <c r="D184" i="15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P70" i="32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1" i="20"/>
  <c r="K152" i="20"/>
  <c r="K153" i="20"/>
  <c r="K154" i="20"/>
  <c r="K155" i="20"/>
  <c r="J151" i="20"/>
  <c r="J152" i="20"/>
  <c r="J153" i="20"/>
  <c r="J154" i="20"/>
  <c r="J155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H152" i="20"/>
  <c r="H153" i="20"/>
  <c r="H154" i="20"/>
  <c r="H155" i="20"/>
  <c r="I140" i="20"/>
  <c r="D139" i="20"/>
  <c r="J150" i="20" l="1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N27" i="18" l="1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<sst xmlns="http://schemas.openxmlformats.org/spreadsheetml/2006/main" count="2747" uniqueCount="1158">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</sst>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workbookViewId="0">
      <selection activeCell="H6" sqref="H6"/>
    </sheetView>
  </sheetViews>
  <sheetFormatPr defaultRowHeight="15" x14ac:dyDescent="0.25"/>
  <cols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6.14062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1112</v>
      </c>
      <c r="R1" s="11" t="s">
        <v>180</v>
      </c>
      <c r="S1" s="11" t="s">
        <v>267</v>
      </c>
      <c r="T1" s="11" t="s">
        <v>452</v>
      </c>
      <c r="U1" s="11" t="s">
        <v>754</v>
      </c>
      <c r="V1" s="11" t="s">
        <v>280</v>
      </c>
      <c r="W1" s="11" t="s">
        <v>1128</v>
      </c>
      <c r="X1" s="11" t="s">
        <v>35</v>
      </c>
      <c r="Y1" s="11" t="s">
        <v>37</v>
      </c>
      <c r="Z1" s="11" t="s">
        <v>484</v>
      </c>
      <c r="AH1" s="100" t="s">
        <v>1140</v>
      </c>
      <c r="AI1" s="100"/>
      <c r="AJ1" s="100"/>
      <c r="AK1" s="10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1112</v>
      </c>
      <c r="R2" s="11" t="s">
        <v>1127</v>
      </c>
      <c r="S2" s="86">
        <v>168000000</v>
      </c>
      <c r="T2" s="86">
        <v>91000000</v>
      </c>
      <c r="U2" s="86">
        <v>77000000</v>
      </c>
      <c r="V2" s="11">
        <v>4</v>
      </c>
      <c r="W2" s="11">
        <f>W3+V2</f>
        <v>4</v>
      </c>
      <c r="X2" s="86">
        <f>S2*W2</f>
        <v>672000000</v>
      </c>
      <c r="Y2" s="86">
        <f>T2*W2</f>
        <v>364000000</v>
      </c>
      <c r="Z2" s="86">
        <f>U2*W2</f>
        <v>308000000</v>
      </c>
      <c r="AH2" s="100"/>
      <c r="AI2" s="100"/>
      <c r="AJ2" s="100"/>
      <c r="AK2" s="10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1113</v>
      </c>
      <c r="R3" s="11" t="s">
        <v>1129</v>
      </c>
      <c r="S3" s="86">
        <v>0</v>
      </c>
      <c r="T3" s="86">
        <v>0</v>
      </c>
      <c r="U3" s="86">
        <v>0</v>
      </c>
      <c r="V3" s="11">
        <v>0</v>
      </c>
      <c r="W3" s="11">
        <f t="shared" ref="W3:W9" si="0">W4+V3</f>
        <v>0</v>
      </c>
      <c r="X3" s="86"/>
      <c r="Y3" s="86"/>
      <c r="Z3" s="86"/>
      <c r="AH3" s="101" t="s">
        <v>1141</v>
      </c>
      <c r="AI3" s="102" t="s">
        <v>1142</v>
      </c>
      <c r="AJ3" s="101" t="s">
        <v>1143</v>
      </c>
      <c r="AK3" s="103" t="s">
        <v>1144</v>
      </c>
    </row>
    <row r="4" spans="1:37" x14ac:dyDescent="0.25">
      <c r="R4" s="11"/>
      <c r="S4" s="86"/>
      <c r="T4" s="86"/>
      <c r="U4" s="86"/>
      <c r="V4" s="11"/>
      <c r="W4" s="11">
        <f t="shared" si="0"/>
        <v>0</v>
      </c>
      <c r="X4" s="86"/>
      <c r="Y4" s="86"/>
      <c r="Z4" s="86"/>
      <c r="AH4" s="101"/>
      <c r="AI4" s="102"/>
      <c r="AJ4" s="101"/>
      <c r="AK4" s="10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1114</v>
      </c>
      <c r="R5" s="11"/>
      <c r="S5" s="86"/>
      <c r="T5" s="86"/>
      <c r="U5" s="86"/>
      <c r="V5" s="11"/>
      <c r="W5" s="11">
        <f t="shared" si="0"/>
        <v>0</v>
      </c>
      <c r="X5" s="86"/>
      <c r="Y5" s="86"/>
      <c r="Z5" s="86"/>
      <c r="AH5" s="98" t="s">
        <v>1145</v>
      </c>
      <c r="AI5" s="98" t="s">
        <v>1146</v>
      </c>
      <c r="AJ5" s="98" t="s">
        <v>1147</v>
      </c>
      <c r="AK5" s="98" t="s">
        <v>1148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1115</v>
      </c>
      <c r="R6" s="11"/>
      <c r="S6" s="86"/>
      <c r="T6" s="86"/>
      <c r="U6" s="86"/>
      <c r="V6" s="11"/>
      <c r="W6" s="11">
        <f t="shared" si="0"/>
        <v>0</v>
      </c>
      <c r="X6" s="86"/>
      <c r="Y6" s="86"/>
      <c r="Z6" s="86"/>
      <c r="AH6" s="99" t="s">
        <v>1149</v>
      </c>
      <c r="AI6" s="99" t="s">
        <v>1150</v>
      </c>
      <c r="AJ6" s="99" t="s">
        <v>1151</v>
      </c>
      <c r="AK6" s="99" t="s">
        <v>1152</v>
      </c>
    </row>
    <row r="7" spans="1:37" x14ac:dyDescent="0.25">
      <c r="R7" s="11"/>
      <c r="S7" s="86"/>
      <c r="T7" s="86"/>
      <c r="U7" s="86"/>
      <c r="V7" s="11"/>
      <c r="W7" s="11">
        <f t="shared" si="0"/>
        <v>0</v>
      </c>
      <c r="X7" s="86"/>
      <c r="Y7" s="86"/>
      <c r="Z7" s="86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1116</v>
      </c>
      <c r="R8" s="11"/>
      <c r="S8" s="86"/>
      <c r="T8" s="86"/>
      <c r="U8" s="86"/>
      <c r="V8" s="11"/>
      <c r="W8" s="11">
        <f t="shared" si="0"/>
        <v>0</v>
      </c>
      <c r="X8" s="86"/>
      <c r="Y8" s="86"/>
      <c r="Z8" s="86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1117</v>
      </c>
      <c r="J9">
        <v>232</v>
      </c>
      <c r="K9">
        <v>2.12</v>
      </c>
      <c r="L9">
        <f>$J$9/K9</f>
        <v>109.43396226415094</v>
      </c>
      <c r="O9" t="s">
        <v>1124</v>
      </c>
      <c r="P9">
        <v>5</v>
      </c>
      <c r="R9" s="11"/>
      <c r="S9" s="86"/>
      <c r="T9" s="86"/>
      <c r="U9" s="86"/>
      <c r="V9" s="11"/>
      <c r="W9" s="11">
        <f t="shared" si="0"/>
        <v>0</v>
      </c>
      <c r="X9" s="86"/>
      <c r="Y9" s="86"/>
      <c r="Z9" s="86"/>
    </row>
    <row r="10" spans="1:37" x14ac:dyDescent="0.25">
      <c r="K10">
        <v>2.02</v>
      </c>
      <c r="L10">
        <f t="shared" ref="L10:L13" si="5">$J$9/K10</f>
        <v>114.85148514851485</v>
      </c>
      <c r="O10" t="s">
        <v>1125</v>
      </c>
      <c r="P10">
        <v>20</v>
      </c>
      <c r="R10" s="11"/>
      <c r="S10" s="86"/>
      <c r="T10" s="86"/>
      <c r="U10" s="86"/>
      <c r="V10" s="11"/>
      <c r="W10" s="11"/>
      <c r="X10" s="86"/>
      <c r="Y10" s="86"/>
      <c r="Z10" s="86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1118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6"/>
      <c r="T11" s="86"/>
      <c r="U11" s="86"/>
      <c r="V11" s="11"/>
      <c r="W11" s="11"/>
      <c r="X11" s="86"/>
      <c r="Y11" s="86"/>
      <c r="Z11" s="86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1119</v>
      </c>
      <c r="K12">
        <v>1.82</v>
      </c>
      <c r="L12">
        <f t="shared" si="5"/>
        <v>127.47252747252747</v>
      </c>
      <c r="O12" t="s">
        <v>754</v>
      </c>
      <c r="P12">
        <v>27</v>
      </c>
      <c r="R12" s="11"/>
      <c r="S12" s="86"/>
      <c r="T12" s="86"/>
      <c r="U12" s="86"/>
      <c r="V12" s="11"/>
      <c r="W12" s="11"/>
      <c r="X12" s="86"/>
      <c r="Y12" s="86"/>
      <c r="Z12" s="86"/>
    </row>
    <row r="13" spans="1:37" x14ac:dyDescent="0.25">
      <c r="K13">
        <v>1.72</v>
      </c>
      <c r="L13">
        <f t="shared" si="5"/>
        <v>134.88372093023256</v>
      </c>
      <c r="O13" t="s">
        <v>1137</v>
      </c>
      <c r="P13">
        <v>7.5</v>
      </c>
      <c r="R13" s="11"/>
      <c r="S13" s="86"/>
      <c r="T13" s="86"/>
      <c r="U13" s="86"/>
      <c r="V13" s="11"/>
      <c r="W13" s="11"/>
      <c r="X13" s="86"/>
      <c r="Y13" s="86"/>
      <c r="Z13" s="86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1120</v>
      </c>
      <c r="K14">
        <v>1.62</v>
      </c>
      <c r="L14">
        <f>$J$9/K14</f>
        <v>143.20987654320987</v>
      </c>
      <c r="O14" t="s">
        <v>1138</v>
      </c>
      <c r="P14">
        <v>6</v>
      </c>
      <c r="R14" s="11"/>
      <c r="S14" s="86"/>
      <c r="T14" s="86"/>
      <c r="U14" s="86"/>
      <c r="V14" s="11"/>
      <c r="W14" s="11"/>
      <c r="X14" s="86"/>
      <c r="Y14" s="86"/>
      <c r="Z14" s="86"/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1121</v>
      </c>
      <c r="O15" t="s">
        <v>1126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5">
      <c r="A17">
        <f>A14/A8</f>
        <v>0.37037037037037035</v>
      </c>
      <c r="B17">
        <f t="shared" ref="B17:F17" si="10">B14/B8</f>
        <v>0.34883720930232559</v>
      </c>
      <c r="C17">
        <f t="shared" si="10"/>
        <v>0.32967032967032966</v>
      </c>
      <c r="D17">
        <f t="shared" si="10"/>
        <v>0.3125</v>
      </c>
      <c r="E17">
        <f t="shared" si="10"/>
        <v>0.29702970297029702</v>
      </c>
      <c r="F17">
        <f t="shared" si="10"/>
        <v>0.28301886792452829</v>
      </c>
      <c r="G17" t="s">
        <v>1157</v>
      </c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5">
      <c r="A18">
        <f>A14/A8*12/8</f>
        <v>0.55555555555555558</v>
      </c>
      <c r="B18">
        <f t="shared" ref="B18:F18" si="11">B14/B8*12/8</f>
        <v>0.52325581395348841</v>
      </c>
      <c r="C18">
        <f t="shared" si="11"/>
        <v>0.49450549450549453</v>
      </c>
      <c r="D18">
        <f t="shared" si="11"/>
        <v>0.46875</v>
      </c>
      <c r="E18">
        <f t="shared" si="11"/>
        <v>0.4455445544554455</v>
      </c>
      <c r="F18">
        <f t="shared" si="11"/>
        <v>0.42452830188679247</v>
      </c>
      <c r="G18" t="s">
        <v>1122</v>
      </c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5">
      <c r="A19">
        <f>A15/A9*12/14</f>
        <v>0.41616541353383457</v>
      </c>
      <c r="B19">
        <f t="shared" ref="B19:F19" si="12">B15/B9*12/14</f>
        <v>0.39047619047619048</v>
      </c>
      <c r="C19">
        <f t="shared" si="12"/>
        <v>0.3677740863787376</v>
      </c>
      <c r="D19">
        <f t="shared" si="12"/>
        <v>0.34756671899529046</v>
      </c>
      <c r="E19">
        <f t="shared" si="12"/>
        <v>0.32946428571428577</v>
      </c>
      <c r="F19">
        <f t="shared" si="12"/>
        <v>0.31315417256011319</v>
      </c>
      <c r="G19" t="s">
        <v>1123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5">
      <c r="A21">
        <f>A11*0.09</f>
        <v>199.79999999999998</v>
      </c>
      <c r="B21">
        <f t="shared" ref="B21:F21" si="13">B11*0.09</f>
        <v>208.79999999999998</v>
      </c>
      <c r="C21">
        <f t="shared" si="13"/>
        <v>217.79999999999998</v>
      </c>
      <c r="D21">
        <f t="shared" si="13"/>
        <v>226.79999999999998</v>
      </c>
      <c r="E21">
        <f t="shared" si="13"/>
        <v>235.79999999999998</v>
      </c>
      <c r="F21">
        <f t="shared" si="13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5">
      <c r="A22">
        <f>(A11+A21)*A9/A8</f>
        <v>2270.4296296296297</v>
      </c>
      <c r="B22">
        <f t="shared" ref="B22:F22" si="14">(B11+B21)*B9/B8</f>
        <v>2381.7767441860469</v>
      </c>
      <c r="C22">
        <f t="shared" si="14"/>
        <v>2492.8659340659342</v>
      </c>
      <c r="D22">
        <f t="shared" si="14"/>
        <v>2603.7375000000002</v>
      </c>
      <c r="E22">
        <f t="shared" si="14"/>
        <v>2714.4237623762378</v>
      </c>
      <c r="F22">
        <f t="shared" si="14"/>
        <v>2824.9509433962262</v>
      </c>
      <c r="R22" s="11" t="s">
        <v>6</v>
      </c>
      <c r="S22" s="29">
        <f>SUM(S2:S19)</f>
        <v>168000000</v>
      </c>
      <c r="T22" s="29">
        <f t="shared" ref="T22:Z22" si="15">SUM(T2:T19)</f>
        <v>91000000</v>
      </c>
      <c r="U22" s="29">
        <f t="shared" si="15"/>
        <v>77000000</v>
      </c>
      <c r="V22" s="29"/>
      <c r="W22" s="29"/>
      <c r="X22" s="29">
        <f t="shared" si="15"/>
        <v>672000000</v>
      </c>
      <c r="Y22" s="29">
        <f t="shared" si="15"/>
        <v>364000000</v>
      </c>
      <c r="Z22" s="29">
        <f t="shared" si="15"/>
        <v>308000000</v>
      </c>
    </row>
    <row r="28" spans="1:26" x14ac:dyDescent="0.25">
      <c r="E28" t="s">
        <v>25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C30" sqref="C3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1068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1108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1109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1127</v>
      </c>
      <c r="B4" s="18">
        <v>-52000000</v>
      </c>
      <c r="C4" s="18">
        <v>0</v>
      </c>
      <c r="D4" s="3">
        <f t="shared" si="0"/>
        <v>-52000000</v>
      </c>
      <c r="E4" s="11" t="s">
        <v>1131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958</v>
      </c>
      <c r="B5" s="18">
        <v>0</v>
      </c>
      <c r="C5" s="18">
        <v>0</v>
      </c>
      <c r="D5" s="3">
        <f t="shared" si="0"/>
        <v>0</v>
      </c>
      <c r="E5" s="20" t="s">
        <v>1043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1068</v>
      </c>
      <c r="B6" s="18">
        <v>0</v>
      </c>
      <c r="C6" s="18">
        <v>0</v>
      </c>
      <c r="D6" s="3">
        <f t="shared" si="0"/>
        <v>0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8810423</v>
      </c>
      <c r="C24" s="3">
        <f>SUM(C2:C22)</f>
        <v>7551324</v>
      </c>
      <c r="D24" s="3">
        <f>SUM(D2:D22)</f>
        <v>1259099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573512690</v>
      </c>
      <c r="H25" s="18">
        <f>SUM(H2:H23)</f>
        <v>226539720</v>
      </c>
      <c r="I25" s="18">
        <f>SUM(I2:I23)</f>
        <v>346972970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157126.76438356165</v>
      </c>
      <c r="H30" s="18">
        <f>G30*H25/G25</f>
        <v>62065.676712328772</v>
      </c>
      <c r="I30" s="18">
        <f>G30*I25/G25</f>
        <v>95061.087671232875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1111</v>
      </c>
      <c r="G31" s="9" t="s">
        <v>1071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1110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1153</v>
      </c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6731422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721</v>
      </c>
      <c r="B5" s="18">
        <v>-1000000</v>
      </c>
      <c r="C5" s="18">
        <v>-1000000</v>
      </c>
      <c r="D5" s="3">
        <f t="shared" si="0"/>
        <v>0</v>
      </c>
      <c r="E5" s="20" t="s">
        <v>742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725</v>
      </c>
      <c r="B6" s="18">
        <v>-50000000</v>
      </c>
      <c r="C6" s="18">
        <v>0</v>
      </c>
      <c r="D6" s="3">
        <f t="shared" si="0"/>
        <v>-50000000</v>
      </c>
      <c r="E6" s="19" t="s">
        <v>726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727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741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750</v>
      </c>
      <c r="B4" s="18">
        <v>-1210700</v>
      </c>
      <c r="C4" s="18">
        <v>0</v>
      </c>
      <c r="D4" s="3">
        <f t="shared" si="0"/>
        <v>-1210700</v>
      </c>
      <c r="E4" s="11" t="s">
        <v>751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-97300</v>
      </c>
      <c r="C5" s="18">
        <v>0</v>
      </c>
      <c r="D5" s="3">
        <f t="shared" si="0"/>
        <v>-97300</v>
      </c>
      <c r="E5" s="20" t="s">
        <v>772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-1000000</v>
      </c>
      <c r="C6" s="18">
        <v>-1000000</v>
      </c>
      <c r="D6" s="3">
        <f t="shared" si="0"/>
        <v>0</v>
      </c>
      <c r="E6" s="19" t="s">
        <v>779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752</v>
      </c>
      <c r="G31" s="9" t="s">
        <v>782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762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775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780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784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783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806</v>
      </c>
      <c r="B4" s="18">
        <v>-1000500</v>
      </c>
      <c r="C4" s="18">
        <v>-1000500</v>
      </c>
      <c r="D4" s="3">
        <f t="shared" si="0"/>
        <v>0</v>
      </c>
      <c r="E4" s="11" t="s">
        <v>807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827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800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809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4" activePane="bottomLeft" state="frozen"/>
      <selection pane="bottomLeft" activeCell="G162" sqref="G16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725</v>
      </c>
      <c r="H2" s="36">
        <f>IF(B2&gt;0,1,0)</f>
        <v>1</v>
      </c>
      <c r="I2" s="11">
        <f>B2*(G2-H2)</f>
        <v>12090800</v>
      </c>
      <c r="J2" s="53">
        <f>C2*(G2-H2)</f>
        <v>12090800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724</v>
      </c>
      <c r="H3" s="36">
        <f t="shared" ref="H3:H66" si="2">IF(B3&gt;0,1,0)</f>
        <v>1</v>
      </c>
      <c r="I3" s="11">
        <f t="shared" ref="I3:I66" si="3">B3*(G3-H3)</f>
        <v>14387700000</v>
      </c>
      <c r="J3" s="53">
        <f t="shared" ref="J3:J66" si="4">C3*(G3-H3)</f>
        <v>8232801000</v>
      </c>
      <c r="K3" s="53">
        <f t="shared" ref="K3:K66" si="5">D3*(G3-H3)</f>
        <v>6154899000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724</v>
      </c>
      <c r="H4" s="36">
        <f t="shared" si="2"/>
        <v>0</v>
      </c>
      <c r="I4" s="11">
        <f t="shared" si="3"/>
        <v>0</v>
      </c>
      <c r="J4" s="53">
        <f t="shared" si="4"/>
        <v>6154000</v>
      </c>
      <c r="K4" s="53">
        <f t="shared" si="5"/>
        <v>-6154000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722</v>
      </c>
      <c r="H5" s="36">
        <f t="shared" si="2"/>
        <v>1</v>
      </c>
      <c r="I5" s="11">
        <f t="shared" si="3"/>
        <v>1442000000</v>
      </c>
      <c r="J5" s="53">
        <f t="shared" si="4"/>
        <v>0</v>
      </c>
      <c r="K5" s="53">
        <f t="shared" si="5"/>
        <v>1442000000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715</v>
      </c>
      <c r="H6" s="36">
        <f t="shared" si="2"/>
        <v>0</v>
      </c>
      <c r="I6" s="11">
        <f t="shared" si="3"/>
        <v>-3575000</v>
      </c>
      <c r="J6" s="53">
        <f t="shared" si="4"/>
        <v>0</v>
      </c>
      <c r="K6" s="53">
        <f t="shared" si="5"/>
        <v>-3575000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711</v>
      </c>
      <c r="H7" s="36">
        <f t="shared" si="2"/>
        <v>0</v>
      </c>
      <c r="I7" s="11">
        <f t="shared" si="3"/>
        <v>-853555500</v>
      </c>
      <c r="J7" s="53">
        <f t="shared" si="4"/>
        <v>0</v>
      </c>
      <c r="K7" s="53">
        <f t="shared" si="5"/>
        <v>-853555500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710</v>
      </c>
      <c r="H8" s="36">
        <f t="shared" si="2"/>
        <v>0</v>
      </c>
      <c r="I8" s="11">
        <f t="shared" si="3"/>
        <v>-142000000</v>
      </c>
      <c r="J8" s="53">
        <f t="shared" si="4"/>
        <v>0</v>
      </c>
      <c r="K8" s="53">
        <f t="shared" si="5"/>
        <v>-142000000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708</v>
      </c>
      <c r="H9" s="36">
        <f t="shared" si="2"/>
        <v>0</v>
      </c>
      <c r="I9" s="11">
        <f t="shared" si="3"/>
        <v>-499494000</v>
      </c>
      <c r="J9" s="53">
        <f t="shared" si="4"/>
        <v>0</v>
      </c>
      <c r="K9" s="53">
        <f t="shared" si="5"/>
        <v>-499494000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699</v>
      </c>
      <c r="H10" s="36">
        <f t="shared" si="2"/>
        <v>0</v>
      </c>
      <c r="I10" s="11">
        <f t="shared" si="3"/>
        <v>-139800000</v>
      </c>
      <c r="J10" s="53">
        <f t="shared" si="4"/>
        <v>0</v>
      </c>
      <c r="K10" s="53">
        <f t="shared" si="5"/>
        <v>-139800000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699</v>
      </c>
      <c r="H11" s="36">
        <f t="shared" si="2"/>
        <v>1</v>
      </c>
      <c r="I11" s="11">
        <f t="shared" si="3"/>
        <v>698000000</v>
      </c>
      <c r="J11" s="53">
        <f t="shared" si="4"/>
        <v>0</v>
      </c>
      <c r="K11" s="53">
        <f t="shared" si="5"/>
        <v>698000000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695</v>
      </c>
      <c r="H12" s="36">
        <f t="shared" si="2"/>
        <v>0</v>
      </c>
      <c r="I12" s="11">
        <f t="shared" si="3"/>
        <v>-208500000</v>
      </c>
      <c r="J12" s="53">
        <f t="shared" si="4"/>
        <v>0</v>
      </c>
      <c r="K12" s="53">
        <f t="shared" si="5"/>
        <v>-208500000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690</v>
      </c>
      <c r="H13" s="36">
        <f t="shared" si="2"/>
        <v>0</v>
      </c>
      <c r="I13" s="11">
        <f t="shared" si="3"/>
        <v>-42780000</v>
      </c>
      <c r="J13" s="53">
        <f t="shared" si="4"/>
        <v>0</v>
      </c>
      <c r="K13" s="53">
        <f t="shared" si="5"/>
        <v>-42780000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690</v>
      </c>
      <c r="H14" s="36">
        <f t="shared" si="2"/>
        <v>1</v>
      </c>
      <c r="I14" s="11">
        <f t="shared" si="3"/>
        <v>1378000000</v>
      </c>
      <c r="J14" s="53">
        <f t="shared" si="4"/>
        <v>0</v>
      </c>
      <c r="K14" s="53">
        <f t="shared" si="5"/>
        <v>1378000000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689</v>
      </c>
      <c r="H15" s="36">
        <f t="shared" si="2"/>
        <v>1</v>
      </c>
      <c r="I15" s="11">
        <f t="shared" si="3"/>
        <v>1238400000</v>
      </c>
      <c r="J15" s="53">
        <f t="shared" si="4"/>
        <v>0</v>
      </c>
      <c r="K15" s="53">
        <f t="shared" si="5"/>
        <v>1238400000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689</v>
      </c>
      <c r="H16" s="36">
        <f t="shared" si="2"/>
        <v>0</v>
      </c>
      <c r="I16" s="11">
        <f t="shared" si="3"/>
        <v>-137800000</v>
      </c>
      <c r="J16" s="53">
        <f t="shared" si="4"/>
        <v>0</v>
      </c>
      <c r="K16" s="53">
        <f t="shared" si="5"/>
        <v>-137800000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685</v>
      </c>
      <c r="H17" s="36">
        <f t="shared" si="2"/>
        <v>0</v>
      </c>
      <c r="I17" s="11">
        <f t="shared" si="3"/>
        <v>-1370000000</v>
      </c>
      <c r="J17" s="53">
        <f t="shared" si="4"/>
        <v>0</v>
      </c>
      <c r="K17" s="53">
        <f t="shared" si="5"/>
        <v>-1370000000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684</v>
      </c>
      <c r="H18" s="36">
        <f t="shared" si="2"/>
        <v>0</v>
      </c>
      <c r="I18" s="11">
        <f t="shared" si="3"/>
        <v>-205200000</v>
      </c>
      <c r="J18" s="53">
        <f t="shared" si="4"/>
        <v>0</v>
      </c>
      <c r="K18" s="53">
        <f t="shared" si="5"/>
        <v>-205200000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683</v>
      </c>
      <c r="H19" s="36">
        <f t="shared" si="2"/>
        <v>0</v>
      </c>
      <c r="I19" s="11">
        <f t="shared" si="3"/>
        <v>-136600000</v>
      </c>
      <c r="J19" s="53">
        <f t="shared" si="4"/>
        <v>0</v>
      </c>
      <c r="K19" s="53">
        <f t="shared" si="5"/>
        <v>-136600000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681</v>
      </c>
      <c r="H20" s="36">
        <f t="shared" si="2"/>
        <v>1</v>
      </c>
      <c r="I20" s="11">
        <f t="shared" si="3"/>
        <v>184340520</v>
      </c>
      <c r="J20" s="53">
        <f t="shared" si="4"/>
        <v>100267360</v>
      </c>
      <c r="K20" s="53">
        <f t="shared" si="5"/>
        <v>84073160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679</v>
      </c>
      <c r="H21" s="36">
        <f t="shared" si="2"/>
        <v>0</v>
      </c>
      <c r="I21" s="11">
        <f t="shared" si="3"/>
        <v>-1022370300</v>
      </c>
      <c r="J21" s="53">
        <f t="shared" si="4"/>
        <v>0</v>
      </c>
      <c r="K21" s="53">
        <f t="shared" si="5"/>
        <v>-1022370300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676</v>
      </c>
      <c r="H22" s="36">
        <f t="shared" si="2"/>
        <v>1</v>
      </c>
      <c r="I22" s="11">
        <f t="shared" si="3"/>
        <v>2025000000</v>
      </c>
      <c r="J22" s="53">
        <f t="shared" si="4"/>
        <v>0</v>
      </c>
      <c r="K22" s="53">
        <f t="shared" si="5"/>
        <v>2025000000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675</v>
      </c>
      <c r="H23" s="36">
        <f t="shared" si="2"/>
        <v>1</v>
      </c>
      <c r="I23" s="11">
        <f t="shared" si="3"/>
        <v>674000000</v>
      </c>
      <c r="J23" s="53">
        <f t="shared" si="4"/>
        <v>0</v>
      </c>
      <c r="K23" s="53">
        <f t="shared" si="5"/>
        <v>674000000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674</v>
      </c>
      <c r="H24" s="36">
        <f t="shared" si="2"/>
        <v>0</v>
      </c>
      <c r="I24" s="11">
        <f t="shared" si="3"/>
        <v>-2022606600</v>
      </c>
      <c r="J24" s="53">
        <f t="shared" si="4"/>
        <v>0</v>
      </c>
      <c r="K24" s="53">
        <f t="shared" si="5"/>
        <v>-2022606600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659</v>
      </c>
      <c r="H25" s="36">
        <f t="shared" si="2"/>
        <v>1</v>
      </c>
      <c r="I25" s="11">
        <f t="shared" si="3"/>
        <v>987000000</v>
      </c>
      <c r="J25" s="53">
        <f t="shared" si="4"/>
        <v>0</v>
      </c>
      <c r="K25" s="53">
        <f t="shared" si="5"/>
        <v>987000000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651</v>
      </c>
      <c r="H26" s="36">
        <f t="shared" si="2"/>
        <v>0</v>
      </c>
      <c r="I26" s="11">
        <f t="shared" si="3"/>
        <v>-106764000</v>
      </c>
      <c r="J26" s="53">
        <f t="shared" si="4"/>
        <v>0</v>
      </c>
      <c r="K26" s="53">
        <f t="shared" si="5"/>
        <v>-106764000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650</v>
      </c>
      <c r="H27" s="36">
        <f t="shared" si="2"/>
        <v>1</v>
      </c>
      <c r="I27" s="11">
        <f t="shared" si="3"/>
        <v>129406057</v>
      </c>
      <c r="J27" s="53">
        <f t="shared" si="4"/>
        <v>69711037</v>
      </c>
      <c r="K27" s="53">
        <f t="shared" si="5"/>
        <v>59695020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648</v>
      </c>
      <c r="H28" s="36">
        <f t="shared" si="2"/>
        <v>0</v>
      </c>
      <c r="I28" s="11">
        <f t="shared" si="3"/>
        <v>-143208000</v>
      </c>
      <c r="J28" s="53">
        <f t="shared" si="4"/>
        <v>-143208000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648</v>
      </c>
      <c r="H29" s="36">
        <f t="shared" si="2"/>
        <v>0</v>
      </c>
      <c r="I29" s="11">
        <f t="shared" si="3"/>
        <v>-324324000</v>
      </c>
      <c r="J29" s="53">
        <f t="shared" si="4"/>
        <v>0</v>
      </c>
      <c r="K29" s="53">
        <f t="shared" si="5"/>
        <v>-324324000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648</v>
      </c>
      <c r="H30" s="36">
        <f t="shared" si="2"/>
        <v>0</v>
      </c>
      <c r="I30" s="11">
        <f t="shared" si="3"/>
        <v>-9720000000</v>
      </c>
      <c r="J30" s="53">
        <f t="shared" si="4"/>
        <v>-9720000000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631</v>
      </c>
      <c r="H31" s="36">
        <f t="shared" si="2"/>
        <v>0</v>
      </c>
      <c r="I31" s="11">
        <f t="shared" si="3"/>
        <v>-1899877900</v>
      </c>
      <c r="J31" s="53">
        <f t="shared" si="4"/>
        <v>0</v>
      </c>
      <c r="K31" s="53">
        <f t="shared" si="5"/>
        <v>-1899877900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629</v>
      </c>
      <c r="H32" s="36">
        <f t="shared" si="2"/>
        <v>0</v>
      </c>
      <c r="I32" s="11">
        <f t="shared" si="3"/>
        <v>-1890711100</v>
      </c>
      <c r="J32" s="53">
        <f t="shared" si="4"/>
        <v>0</v>
      </c>
      <c r="K32" s="53">
        <f t="shared" si="5"/>
        <v>-1890711100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628</v>
      </c>
      <c r="H33" s="36">
        <f t="shared" si="2"/>
        <v>0</v>
      </c>
      <c r="I33" s="11">
        <f t="shared" si="3"/>
        <v>-562374000</v>
      </c>
      <c r="J33" s="53">
        <f t="shared" si="4"/>
        <v>0</v>
      </c>
      <c r="K33" s="53">
        <f t="shared" si="5"/>
        <v>-562374000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628</v>
      </c>
      <c r="H34" s="36">
        <f t="shared" si="2"/>
        <v>0</v>
      </c>
      <c r="I34" s="11">
        <f t="shared" si="3"/>
        <v>0</v>
      </c>
      <c r="J34" s="53">
        <f t="shared" si="4"/>
        <v>628000000</v>
      </c>
      <c r="K34" s="53">
        <f t="shared" si="5"/>
        <v>-628000000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619</v>
      </c>
      <c r="H35" s="36">
        <f t="shared" si="2"/>
        <v>1</v>
      </c>
      <c r="I35" s="11">
        <f t="shared" si="3"/>
        <v>32427696</v>
      </c>
      <c r="J35" s="53">
        <f t="shared" si="4"/>
        <v>-13387734</v>
      </c>
      <c r="K35" s="53">
        <f t="shared" si="5"/>
        <v>45815430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619</v>
      </c>
      <c r="H36" s="36">
        <f t="shared" si="2"/>
        <v>0</v>
      </c>
      <c r="I36" s="11">
        <f t="shared" si="3"/>
        <v>0</v>
      </c>
      <c r="J36" s="53">
        <f t="shared" si="4"/>
        <v>13409397</v>
      </c>
      <c r="K36" s="53">
        <f t="shared" si="5"/>
        <v>-13409397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609</v>
      </c>
      <c r="H37" s="36">
        <f t="shared" si="2"/>
        <v>0</v>
      </c>
      <c r="I37" s="11">
        <f t="shared" si="3"/>
        <v>-33495000</v>
      </c>
      <c r="J37" s="53">
        <f t="shared" si="4"/>
        <v>0</v>
      </c>
      <c r="K37" s="53">
        <f t="shared" si="5"/>
        <v>-33495000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608</v>
      </c>
      <c r="H38" s="36">
        <f t="shared" si="2"/>
        <v>1</v>
      </c>
      <c r="I38" s="11">
        <f t="shared" si="3"/>
        <v>1821000000</v>
      </c>
      <c r="J38" s="53">
        <f t="shared" si="4"/>
        <v>1821000000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607</v>
      </c>
      <c r="H39" s="36">
        <f t="shared" si="2"/>
        <v>1</v>
      </c>
      <c r="I39" s="11">
        <f t="shared" si="3"/>
        <v>1515000000</v>
      </c>
      <c r="J39" s="53">
        <f t="shared" si="4"/>
        <v>1515000000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607</v>
      </c>
      <c r="H40" s="36">
        <f t="shared" si="2"/>
        <v>0</v>
      </c>
      <c r="I40" s="11">
        <f t="shared" si="3"/>
        <v>-30350000</v>
      </c>
      <c r="J40" s="53">
        <f t="shared" si="4"/>
        <v>0</v>
      </c>
      <c r="K40" s="53">
        <f t="shared" si="5"/>
        <v>-30350000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607</v>
      </c>
      <c r="H41" s="36">
        <f t="shared" si="2"/>
        <v>1</v>
      </c>
      <c r="I41" s="11">
        <f t="shared" si="3"/>
        <v>1818000000</v>
      </c>
      <c r="J41" s="53">
        <f t="shared" si="4"/>
        <v>0</v>
      </c>
      <c r="K41" s="53">
        <f t="shared" si="5"/>
        <v>1818000000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604</v>
      </c>
      <c r="H42" s="36">
        <f t="shared" si="2"/>
        <v>0</v>
      </c>
      <c r="I42" s="11">
        <f t="shared" si="3"/>
        <v>-53876800</v>
      </c>
      <c r="J42" s="53">
        <f t="shared" si="4"/>
        <v>0</v>
      </c>
      <c r="K42" s="53">
        <f t="shared" si="5"/>
        <v>-53876800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600</v>
      </c>
      <c r="H43" s="36">
        <f t="shared" si="2"/>
        <v>0</v>
      </c>
      <c r="I43" s="11">
        <f t="shared" si="3"/>
        <v>-120000000</v>
      </c>
      <c r="J43" s="53">
        <f t="shared" si="4"/>
        <v>0</v>
      </c>
      <c r="K43" s="53">
        <f t="shared" si="5"/>
        <v>-120000000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598</v>
      </c>
      <c r="H44" s="36">
        <f t="shared" si="2"/>
        <v>0</v>
      </c>
      <c r="I44" s="11">
        <f t="shared" si="3"/>
        <v>-119600000</v>
      </c>
      <c r="J44" s="53">
        <f t="shared" si="4"/>
        <v>0</v>
      </c>
      <c r="K44" s="53">
        <f t="shared" si="5"/>
        <v>-119600000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598</v>
      </c>
      <c r="H45" s="36">
        <f t="shared" si="2"/>
        <v>0</v>
      </c>
      <c r="I45" s="11">
        <f t="shared" si="3"/>
        <v>-334880000</v>
      </c>
      <c r="J45" s="53">
        <f t="shared" si="4"/>
        <v>0</v>
      </c>
      <c r="K45" s="53">
        <f t="shared" si="5"/>
        <v>-334880000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594</v>
      </c>
      <c r="H46" s="36">
        <f t="shared" si="2"/>
        <v>0</v>
      </c>
      <c r="I46" s="11">
        <f t="shared" si="3"/>
        <v>-419067000</v>
      </c>
      <c r="J46" s="53">
        <f t="shared" si="4"/>
        <v>0</v>
      </c>
      <c r="K46" s="53">
        <f t="shared" si="5"/>
        <v>-419067000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588</v>
      </c>
      <c r="H47" s="36">
        <f t="shared" si="2"/>
        <v>1</v>
      </c>
      <c r="I47" s="11">
        <f t="shared" si="3"/>
        <v>24186748</v>
      </c>
      <c r="J47" s="53">
        <f t="shared" si="4"/>
        <v>3940531</v>
      </c>
      <c r="K47" s="53">
        <f t="shared" si="5"/>
        <v>20246217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588</v>
      </c>
      <c r="H48" s="36">
        <f t="shared" si="2"/>
        <v>1</v>
      </c>
      <c r="I48" s="11">
        <f t="shared" si="3"/>
        <v>1000658900</v>
      </c>
      <c r="J48" s="53">
        <f t="shared" si="4"/>
        <v>0</v>
      </c>
      <c r="K48" s="53">
        <f t="shared" si="5"/>
        <v>1000658900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579</v>
      </c>
      <c r="H49" s="36">
        <f t="shared" si="2"/>
        <v>0</v>
      </c>
      <c r="I49" s="11">
        <f t="shared" si="3"/>
        <v>-89745000</v>
      </c>
      <c r="J49" s="53">
        <f t="shared" si="4"/>
        <v>0</v>
      </c>
      <c r="K49" s="53">
        <f t="shared" si="5"/>
        <v>-89745000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579</v>
      </c>
      <c r="H50" s="36">
        <f t="shared" si="2"/>
        <v>0</v>
      </c>
      <c r="I50" s="11">
        <f t="shared" si="3"/>
        <v>-79902000</v>
      </c>
      <c r="J50" s="53">
        <f t="shared" si="4"/>
        <v>0</v>
      </c>
      <c r="K50" s="53">
        <f t="shared" si="5"/>
        <v>-79902000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579</v>
      </c>
      <c r="H51" s="36">
        <f t="shared" si="2"/>
        <v>0</v>
      </c>
      <c r="I51" s="11">
        <f t="shared" si="3"/>
        <v>-428460000</v>
      </c>
      <c r="J51" s="53">
        <f t="shared" si="4"/>
        <v>0</v>
      </c>
      <c r="K51" s="53">
        <f t="shared" si="5"/>
        <v>-428460000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579</v>
      </c>
      <c r="H52" s="36">
        <f t="shared" si="2"/>
        <v>0</v>
      </c>
      <c r="I52" s="11">
        <f t="shared" si="3"/>
        <v>-115800000</v>
      </c>
      <c r="J52" s="53">
        <f t="shared" si="4"/>
        <v>0</v>
      </c>
      <c r="K52" s="53">
        <f t="shared" si="5"/>
        <v>-115800000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578</v>
      </c>
      <c r="H53" s="36">
        <f t="shared" si="2"/>
        <v>0</v>
      </c>
      <c r="I53" s="11">
        <f t="shared" si="3"/>
        <v>-609790000</v>
      </c>
      <c r="J53" s="53">
        <f t="shared" si="4"/>
        <v>0</v>
      </c>
      <c r="K53" s="53">
        <f t="shared" si="5"/>
        <v>-609790000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578</v>
      </c>
      <c r="H54" s="36">
        <f t="shared" si="2"/>
        <v>0</v>
      </c>
      <c r="I54" s="11">
        <f t="shared" si="3"/>
        <v>-115600000</v>
      </c>
      <c r="J54" s="53">
        <f t="shared" si="4"/>
        <v>0</v>
      </c>
      <c r="K54" s="53">
        <f t="shared" si="5"/>
        <v>-115600000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578</v>
      </c>
      <c r="H55" s="36">
        <f t="shared" si="2"/>
        <v>0</v>
      </c>
      <c r="I55" s="11">
        <f t="shared" si="3"/>
        <v>-578289000</v>
      </c>
      <c r="J55" s="53">
        <f t="shared" si="4"/>
        <v>0</v>
      </c>
      <c r="K55" s="53">
        <f t="shared" si="5"/>
        <v>-578289000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578</v>
      </c>
      <c r="H56" s="36">
        <f t="shared" si="2"/>
        <v>0</v>
      </c>
      <c r="I56" s="11">
        <f t="shared" si="3"/>
        <v>-21964000</v>
      </c>
      <c r="J56" s="53">
        <f t="shared" si="4"/>
        <v>0</v>
      </c>
      <c r="K56" s="53">
        <f t="shared" si="5"/>
        <v>-21964000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578</v>
      </c>
      <c r="H57" s="36">
        <f t="shared" si="2"/>
        <v>0</v>
      </c>
      <c r="I57" s="11">
        <f t="shared" si="3"/>
        <v>-60690000</v>
      </c>
      <c r="J57" s="53">
        <f t="shared" si="4"/>
        <v>0</v>
      </c>
      <c r="K57" s="53">
        <f t="shared" si="5"/>
        <v>-60690000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578</v>
      </c>
      <c r="H58" s="36">
        <f t="shared" si="2"/>
        <v>0</v>
      </c>
      <c r="I58" s="11">
        <f t="shared" si="3"/>
        <v>-34680000</v>
      </c>
      <c r="J58" s="53">
        <f t="shared" si="4"/>
        <v>0</v>
      </c>
      <c r="K58" s="53">
        <f t="shared" si="5"/>
        <v>-34680000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575</v>
      </c>
      <c r="H59" s="36">
        <f t="shared" si="2"/>
        <v>1</v>
      </c>
      <c r="I59" s="11">
        <f t="shared" si="3"/>
        <v>574000000</v>
      </c>
      <c r="J59" s="53">
        <f t="shared" si="4"/>
        <v>574000000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574</v>
      </c>
      <c r="H60" s="36">
        <f t="shared" si="2"/>
        <v>1</v>
      </c>
      <c r="I60" s="11">
        <f t="shared" si="3"/>
        <v>2005500000</v>
      </c>
      <c r="J60" s="53">
        <f t="shared" si="4"/>
        <v>2005500000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572</v>
      </c>
      <c r="H61" s="36">
        <f t="shared" si="2"/>
        <v>1</v>
      </c>
      <c r="I61" s="11">
        <f t="shared" si="3"/>
        <v>571000000</v>
      </c>
      <c r="J61" s="53">
        <f t="shared" si="4"/>
        <v>571000000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572</v>
      </c>
      <c r="H62" s="36">
        <f t="shared" si="2"/>
        <v>1</v>
      </c>
      <c r="I62" s="11">
        <f t="shared" si="3"/>
        <v>1713000000</v>
      </c>
      <c r="J62" s="53">
        <f t="shared" si="4"/>
        <v>1713000000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570</v>
      </c>
      <c r="H63" s="36">
        <f t="shared" si="2"/>
        <v>0</v>
      </c>
      <c r="I63" s="11">
        <f t="shared" si="3"/>
        <v>-114000000</v>
      </c>
      <c r="J63" s="53">
        <f t="shared" si="4"/>
        <v>0</v>
      </c>
      <c r="K63" s="53">
        <f t="shared" si="5"/>
        <v>-114000000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565</v>
      </c>
      <c r="H64" s="36">
        <f t="shared" si="2"/>
        <v>0</v>
      </c>
      <c r="I64" s="11">
        <f t="shared" si="3"/>
        <v>-28250000</v>
      </c>
      <c r="J64" s="53">
        <f t="shared" si="4"/>
        <v>0</v>
      </c>
      <c r="K64" s="53">
        <f t="shared" si="5"/>
        <v>-28250000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561</v>
      </c>
      <c r="H65" s="36">
        <f t="shared" si="2"/>
        <v>0</v>
      </c>
      <c r="I65" s="11">
        <f t="shared" si="3"/>
        <v>-112200000</v>
      </c>
      <c r="J65" s="53">
        <f t="shared" si="4"/>
        <v>0</v>
      </c>
      <c r="K65" s="53">
        <f t="shared" si="5"/>
        <v>-112200000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558</v>
      </c>
      <c r="H66" s="36">
        <f t="shared" si="2"/>
        <v>0</v>
      </c>
      <c r="I66" s="11">
        <f t="shared" si="3"/>
        <v>-94860000</v>
      </c>
      <c r="J66" s="53">
        <f t="shared" si="4"/>
        <v>0</v>
      </c>
      <c r="K66" s="53">
        <f t="shared" si="5"/>
        <v>-94860000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557</v>
      </c>
      <c r="H67" s="36">
        <f t="shared" ref="H67:H131" si="8">IF(B67&gt;0,1,0)</f>
        <v>1</v>
      </c>
      <c r="I67" s="11">
        <f t="shared" ref="I67:I119" si="9">B67*(G67-H67)</f>
        <v>50776700</v>
      </c>
      <c r="J67" s="53">
        <f t="shared" ref="J67:J131" si="10">C67*(G67-H67)</f>
        <v>36541988</v>
      </c>
      <c r="K67" s="53">
        <f t="shared" ref="K67:K131" si="11">D67*(G67-H67)</f>
        <v>14234712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539</v>
      </c>
      <c r="H68" s="36">
        <f t="shared" si="8"/>
        <v>0</v>
      </c>
      <c r="I68" s="11">
        <f t="shared" si="9"/>
        <v>-78155000</v>
      </c>
      <c r="J68" s="53">
        <f t="shared" si="10"/>
        <v>0</v>
      </c>
      <c r="K68" s="53">
        <f t="shared" si="11"/>
        <v>-78155000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532</v>
      </c>
      <c r="H69" s="36">
        <f t="shared" si="8"/>
        <v>1</v>
      </c>
      <c r="I69" s="11">
        <f t="shared" si="9"/>
        <v>520380000</v>
      </c>
      <c r="J69" s="53">
        <f t="shared" si="10"/>
        <v>0</v>
      </c>
      <c r="K69" s="53">
        <f t="shared" si="11"/>
        <v>520380000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529</v>
      </c>
      <c r="H70" s="36">
        <f t="shared" si="8"/>
        <v>0</v>
      </c>
      <c r="I70" s="11">
        <f t="shared" si="9"/>
        <v>-24334000</v>
      </c>
      <c r="J70" s="53">
        <f t="shared" si="10"/>
        <v>0</v>
      </c>
      <c r="K70" s="53">
        <f t="shared" si="11"/>
        <v>-24334000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527</v>
      </c>
      <c r="H71" s="36">
        <f t="shared" si="8"/>
        <v>1</v>
      </c>
      <c r="I71" s="11">
        <f t="shared" si="9"/>
        <v>60667788</v>
      </c>
      <c r="J71" s="53">
        <f t="shared" si="10"/>
        <v>54605112</v>
      </c>
      <c r="K71" s="53">
        <f t="shared" si="11"/>
        <v>6062676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526</v>
      </c>
      <c r="H72" s="36">
        <f t="shared" si="8"/>
        <v>0</v>
      </c>
      <c r="I72" s="11">
        <f t="shared" si="9"/>
        <v>-79935694</v>
      </c>
      <c r="J72" s="53">
        <f t="shared" si="10"/>
        <v>0</v>
      </c>
      <c r="K72" s="53">
        <f t="shared" si="11"/>
        <v>-79935694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525</v>
      </c>
      <c r="H73" s="36">
        <f t="shared" si="8"/>
        <v>0</v>
      </c>
      <c r="I73" s="11">
        <f t="shared" si="9"/>
        <v>-422887500</v>
      </c>
      <c r="J73" s="53">
        <f t="shared" si="10"/>
        <v>0</v>
      </c>
      <c r="K73" s="53">
        <f t="shared" si="11"/>
        <v>-422887500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518</v>
      </c>
      <c r="H74" s="36">
        <f t="shared" si="8"/>
        <v>1</v>
      </c>
      <c r="I74" s="11">
        <f t="shared" si="9"/>
        <v>3616415000</v>
      </c>
      <c r="J74" s="53">
        <f t="shared" si="10"/>
        <v>0</v>
      </c>
      <c r="K74" s="53">
        <f t="shared" si="11"/>
        <v>3616415000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517</v>
      </c>
      <c r="H75" s="36">
        <f t="shared" si="8"/>
        <v>1</v>
      </c>
      <c r="I75" s="11">
        <f t="shared" si="9"/>
        <v>1548000000</v>
      </c>
      <c r="J75" s="53">
        <f t="shared" si="10"/>
        <v>0</v>
      </c>
      <c r="K75" s="53">
        <f t="shared" si="11"/>
        <v>1548000000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515</v>
      </c>
      <c r="H76" s="36">
        <f t="shared" si="8"/>
        <v>1</v>
      </c>
      <c r="I76" s="11">
        <f t="shared" si="9"/>
        <v>1542000000</v>
      </c>
      <c r="J76" s="53">
        <f t="shared" si="10"/>
        <v>0</v>
      </c>
      <c r="K76" s="53">
        <f t="shared" si="11"/>
        <v>1542000000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514</v>
      </c>
      <c r="H77" s="36">
        <f t="shared" si="8"/>
        <v>1</v>
      </c>
      <c r="I77" s="11">
        <f t="shared" si="9"/>
        <v>1539000000</v>
      </c>
      <c r="J77" s="53">
        <f t="shared" si="10"/>
        <v>0</v>
      </c>
      <c r="K77" s="53">
        <f t="shared" si="11"/>
        <v>1539000000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513</v>
      </c>
      <c r="H78" s="36">
        <f t="shared" si="8"/>
        <v>0</v>
      </c>
      <c r="I78" s="11">
        <f t="shared" si="9"/>
        <v>-1641600000</v>
      </c>
      <c r="J78" s="53">
        <f t="shared" si="10"/>
        <v>-1641600000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512</v>
      </c>
      <c r="H79" s="36">
        <f t="shared" si="8"/>
        <v>0</v>
      </c>
      <c r="I79" s="11">
        <f t="shared" si="9"/>
        <v>-409600000</v>
      </c>
      <c r="J79" s="53">
        <f t="shared" si="10"/>
        <v>-409600000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511</v>
      </c>
      <c r="H80" s="36">
        <f t="shared" si="8"/>
        <v>0</v>
      </c>
      <c r="I80" s="11">
        <f t="shared" si="9"/>
        <v>-24728823</v>
      </c>
      <c r="J80" s="53">
        <f t="shared" si="10"/>
        <v>0</v>
      </c>
      <c r="K80" s="53">
        <f t="shared" si="11"/>
        <v>-24728823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510</v>
      </c>
      <c r="H81" s="36">
        <f t="shared" si="8"/>
        <v>0</v>
      </c>
      <c r="I81" s="11">
        <f t="shared" si="9"/>
        <v>-71400000</v>
      </c>
      <c r="J81" s="53">
        <f t="shared" si="10"/>
        <v>0</v>
      </c>
      <c r="K81" s="53">
        <f t="shared" si="11"/>
        <v>-71400000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509</v>
      </c>
      <c r="H82" s="36">
        <f t="shared" si="8"/>
        <v>0</v>
      </c>
      <c r="I82" s="11">
        <f t="shared" si="9"/>
        <v>-127250000</v>
      </c>
      <c r="J82" s="53">
        <f t="shared" si="10"/>
        <v>0</v>
      </c>
      <c r="K82" s="53">
        <f t="shared" si="11"/>
        <v>-127250000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508</v>
      </c>
      <c r="H83" s="36">
        <f t="shared" si="8"/>
        <v>0</v>
      </c>
      <c r="I83" s="11">
        <f t="shared" si="9"/>
        <v>-101600000</v>
      </c>
      <c r="J83" s="53">
        <f t="shared" si="10"/>
        <v>0</v>
      </c>
      <c r="K83" s="53">
        <f t="shared" si="11"/>
        <v>-101600000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505</v>
      </c>
      <c r="H84" s="36">
        <f t="shared" si="8"/>
        <v>1</v>
      </c>
      <c r="I84" s="11">
        <f t="shared" si="9"/>
        <v>824140800</v>
      </c>
      <c r="J84" s="53">
        <f t="shared" si="10"/>
        <v>0</v>
      </c>
      <c r="K84" s="53">
        <f t="shared" si="11"/>
        <v>824140800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501</v>
      </c>
      <c r="H85" s="36">
        <f t="shared" si="8"/>
        <v>1</v>
      </c>
      <c r="I85" s="11">
        <f t="shared" si="9"/>
        <v>1250000000</v>
      </c>
      <c r="J85" s="53">
        <f t="shared" si="10"/>
        <v>0</v>
      </c>
      <c r="K85" s="53">
        <f t="shared" si="11"/>
        <v>1250000000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497</v>
      </c>
      <c r="H86" s="36">
        <f t="shared" si="8"/>
        <v>1</v>
      </c>
      <c r="I86" s="11">
        <f t="shared" si="9"/>
        <v>92404800</v>
      </c>
      <c r="J86" s="53">
        <f t="shared" si="10"/>
        <v>42135200</v>
      </c>
      <c r="K86" s="53">
        <f t="shared" si="11"/>
        <v>50269600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494</v>
      </c>
      <c r="H87" s="36">
        <f t="shared" si="8"/>
        <v>0</v>
      </c>
      <c r="I87" s="11">
        <f t="shared" si="9"/>
        <v>-98800000</v>
      </c>
      <c r="J87" s="53">
        <f t="shared" si="10"/>
        <v>0</v>
      </c>
      <c r="K87" s="53">
        <f t="shared" si="11"/>
        <v>-98800000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493</v>
      </c>
      <c r="H88" s="36">
        <f t="shared" si="8"/>
        <v>0</v>
      </c>
      <c r="I88" s="11">
        <f t="shared" si="9"/>
        <v>-58174000</v>
      </c>
      <c r="J88" s="53">
        <f t="shared" si="10"/>
        <v>-34017000</v>
      </c>
      <c r="K88" s="53">
        <f t="shared" si="11"/>
        <v>-24157000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485</v>
      </c>
      <c r="H89" s="36">
        <f t="shared" si="8"/>
        <v>0</v>
      </c>
      <c r="I89" s="11">
        <f t="shared" si="9"/>
        <v>-1552436500</v>
      </c>
      <c r="J89" s="53">
        <f t="shared" si="10"/>
        <v>0</v>
      </c>
      <c r="K89" s="53">
        <f t="shared" si="11"/>
        <v>-1552436500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484</v>
      </c>
      <c r="H90" s="36">
        <f t="shared" si="8"/>
        <v>0</v>
      </c>
      <c r="I90" s="11">
        <f t="shared" si="9"/>
        <v>-1549235600</v>
      </c>
      <c r="J90" s="53">
        <f t="shared" si="10"/>
        <v>0</v>
      </c>
      <c r="K90" s="53">
        <f t="shared" si="11"/>
        <v>-1549235600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483</v>
      </c>
      <c r="H91" s="36">
        <f t="shared" si="8"/>
        <v>0</v>
      </c>
      <c r="I91" s="11">
        <f t="shared" si="9"/>
        <v>-1546034700</v>
      </c>
      <c r="J91" s="53">
        <f t="shared" si="10"/>
        <v>0</v>
      </c>
      <c r="K91" s="53">
        <f t="shared" si="11"/>
        <v>-1546034700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482</v>
      </c>
      <c r="H92" s="36">
        <f t="shared" si="8"/>
        <v>0</v>
      </c>
      <c r="I92" s="11">
        <f t="shared" si="9"/>
        <v>-1542833800</v>
      </c>
      <c r="J92" s="53">
        <f t="shared" si="10"/>
        <v>0</v>
      </c>
      <c r="K92" s="53">
        <f t="shared" si="11"/>
        <v>-1542833800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481</v>
      </c>
      <c r="H93" s="36">
        <f t="shared" si="8"/>
        <v>0</v>
      </c>
      <c r="I93" s="11">
        <f t="shared" si="9"/>
        <v>-1539632900</v>
      </c>
      <c r="J93" s="53">
        <f t="shared" si="10"/>
        <v>0</v>
      </c>
      <c r="K93" s="53">
        <f t="shared" si="11"/>
        <v>-1539632900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480</v>
      </c>
      <c r="H94" s="36">
        <f t="shared" si="8"/>
        <v>0</v>
      </c>
      <c r="I94" s="11">
        <f t="shared" si="9"/>
        <v>-1536432000</v>
      </c>
      <c r="J94" s="53">
        <f t="shared" si="10"/>
        <v>0</v>
      </c>
      <c r="K94" s="53">
        <f t="shared" si="11"/>
        <v>-1536432000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478</v>
      </c>
      <c r="H95" s="36">
        <f t="shared" si="8"/>
        <v>0</v>
      </c>
      <c r="I95" s="11">
        <f t="shared" si="9"/>
        <v>-571972888</v>
      </c>
      <c r="J95" s="53">
        <f t="shared" si="10"/>
        <v>0</v>
      </c>
      <c r="K95" s="53">
        <f t="shared" si="11"/>
        <v>-571972888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468</v>
      </c>
      <c r="H96" s="36">
        <f t="shared" si="8"/>
        <v>0</v>
      </c>
      <c r="I96" s="11">
        <f t="shared" si="9"/>
        <v>-93600000</v>
      </c>
      <c r="J96" s="53">
        <f t="shared" si="10"/>
        <v>0</v>
      </c>
      <c r="K96" s="53">
        <f t="shared" si="11"/>
        <v>-93600000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467</v>
      </c>
      <c r="H97" s="36">
        <f t="shared" si="8"/>
        <v>1</v>
      </c>
      <c r="I97" s="11">
        <f t="shared" si="9"/>
        <v>74354028</v>
      </c>
      <c r="J97" s="53">
        <f t="shared" si="10"/>
        <v>32119516</v>
      </c>
      <c r="K97" s="53">
        <f t="shared" si="11"/>
        <v>42234512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462</v>
      </c>
      <c r="H98" s="36">
        <f t="shared" si="8"/>
        <v>1</v>
      </c>
      <c r="I98" s="11">
        <f t="shared" si="9"/>
        <v>52723648</v>
      </c>
      <c r="J98" s="53">
        <f t="shared" si="10"/>
        <v>0</v>
      </c>
      <c r="K98" s="53">
        <f t="shared" si="11"/>
        <v>52723648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459</v>
      </c>
      <c r="H99" s="36">
        <f t="shared" si="8"/>
        <v>0</v>
      </c>
      <c r="I99" s="11">
        <f t="shared" si="9"/>
        <v>-608175000</v>
      </c>
      <c r="J99" s="53">
        <f t="shared" si="10"/>
        <v>0</v>
      </c>
      <c r="K99" s="53">
        <f t="shared" si="11"/>
        <v>-608175000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454</v>
      </c>
      <c r="H100" s="36">
        <f t="shared" si="8"/>
        <v>1</v>
      </c>
      <c r="I100" s="11">
        <f t="shared" si="9"/>
        <v>600225000</v>
      </c>
      <c r="J100" s="53">
        <f t="shared" si="10"/>
        <v>0</v>
      </c>
      <c r="K100" s="53">
        <f t="shared" si="11"/>
        <v>600225000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437</v>
      </c>
      <c r="H101" s="36">
        <f t="shared" si="8"/>
        <v>1</v>
      </c>
      <c r="I101" s="11">
        <f t="shared" si="9"/>
        <v>29144420</v>
      </c>
      <c r="J101" s="53">
        <f t="shared" si="10"/>
        <v>29144420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434</v>
      </c>
      <c r="H102" s="36">
        <f t="shared" si="8"/>
        <v>1</v>
      </c>
      <c r="I102" s="11">
        <f t="shared" si="9"/>
        <v>1299000000</v>
      </c>
      <c r="J102" s="53">
        <f t="shared" si="10"/>
        <v>0</v>
      </c>
      <c r="K102" s="53">
        <f t="shared" si="11"/>
        <v>1299000000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427</v>
      </c>
      <c r="H103" s="36">
        <f t="shared" si="8"/>
        <v>0</v>
      </c>
      <c r="I103" s="11">
        <f t="shared" si="9"/>
        <v>-427000000</v>
      </c>
      <c r="J103" s="53">
        <f t="shared" si="10"/>
        <v>-427000000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417</v>
      </c>
      <c r="H104" s="36">
        <f t="shared" si="8"/>
        <v>1</v>
      </c>
      <c r="I104" s="11">
        <f t="shared" si="9"/>
        <v>1248000000</v>
      </c>
      <c r="J104" s="53">
        <f t="shared" si="10"/>
        <v>1248000000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416</v>
      </c>
      <c r="H105" s="36">
        <f t="shared" si="8"/>
        <v>1</v>
      </c>
      <c r="I105" s="11">
        <f t="shared" si="9"/>
        <v>464800000</v>
      </c>
      <c r="J105" s="53">
        <f t="shared" si="10"/>
        <v>464800000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416</v>
      </c>
      <c r="H106" s="36">
        <f t="shared" si="8"/>
        <v>0</v>
      </c>
      <c r="I106" s="11">
        <f t="shared" si="9"/>
        <v>-1248000000</v>
      </c>
      <c r="J106" s="53">
        <f t="shared" si="10"/>
        <v>0</v>
      </c>
      <c r="K106" s="53">
        <f t="shared" si="11"/>
        <v>-1248000000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407</v>
      </c>
      <c r="H107" s="36">
        <f t="shared" si="8"/>
        <v>1</v>
      </c>
      <c r="I107" s="11">
        <f t="shared" si="9"/>
        <v>36740564</v>
      </c>
      <c r="J107" s="53">
        <f t="shared" si="10"/>
        <v>30496690</v>
      </c>
      <c r="K107" s="53">
        <f t="shared" si="11"/>
        <v>6243874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405</v>
      </c>
      <c r="H108" s="36">
        <f t="shared" si="8"/>
        <v>0</v>
      </c>
      <c r="I108" s="11">
        <f t="shared" si="9"/>
        <v>-688783500</v>
      </c>
      <c r="J108" s="53">
        <f t="shared" si="10"/>
        <v>0</v>
      </c>
      <c r="K108" s="53">
        <f t="shared" si="11"/>
        <v>-688783500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401</v>
      </c>
      <c r="H109" s="36">
        <f t="shared" si="8"/>
        <v>0</v>
      </c>
      <c r="I109" s="11">
        <f t="shared" si="9"/>
        <v>-401200500</v>
      </c>
      <c r="J109" s="53">
        <f t="shared" si="10"/>
        <v>0</v>
      </c>
      <c r="K109" s="53">
        <f t="shared" si="11"/>
        <v>-401200500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398</v>
      </c>
      <c r="H110" s="36">
        <f t="shared" si="8"/>
        <v>1</v>
      </c>
      <c r="I110" s="11">
        <f t="shared" si="9"/>
        <v>7940000000</v>
      </c>
      <c r="J110" s="53">
        <f t="shared" si="10"/>
        <v>0</v>
      </c>
      <c r="K110" s="53">
        <f t="shared" si="11"/>
        <v>7940000000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378</v>
      </c>
      <c r="H111" s="36">
        <f t="shared" si="8"/>
        <v>1</v>
      </c>
      <c r="I111" s="11">
        <f t="shared" si="9"/>
        <v>65853606</v>
      </c>
      <c r="J111" s="53">
        <f t="shared" si="10"/>
        <v>32935851</v>
      </c>
      <c r="K111" s="53">
        <f t="shared" si="11"/>
        <v>32917755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362</v>
      </c>
      <c r="H112" s="36">
        <f t="shared" si="8"/>
        <v>0</v>
      </c>
      <c r="I112" s="11">
        <f t="shared" si="9"/>
        <v>-10280800000</v>
      </c>
      <c r="J112" s="53">
        <f t="shared" si="10"/>
        <v>0</v>
      </c>
      <c r="K112" s="53">
        <f t="shared" si="11"/>
        <v>-10280800000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347</v>
      </c>
      <c r="H113" s="36">
        <f t="shared" si="8"/>
        <v>1</v>
      </c>
      <c r="I113" s="11">
        <f t="shared" si="9"/>
        <v>56411840</v>
      </c>
      <c r="J113" s="53">
        <f t="shared" si="10"/>
        <v>42388806</v>
      </c>
      <c r="K113" s="53">
        <f t="shared" si="11"/>
        <v>14023034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347</v>
      </c>
      <c r="H114" s="36">
        <f t="shared" si="8"/>
        <v>0</v>
      </c>
      <c r="I114" s="11">
        <f t="shared" si="9"/>
        <v>-1977900</v>
      </c>
      <c r="J114" s="53">
        <f t="shared" si="10"/>
        <v>-867500</v>
      </c>
      <c r="K114" s="53">
        <f t="shared" si="11"/>
        <v>-1110400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334</v>
      </c>
      <c r="H115" s="36">
        <f t="shared" si="8"/>
        <v>0</v>
      </c>
      <c r="I115" s="11">
        <f t="shared" si="9"/>
        <v>0</v>
      </c>
      <c r="J115" s="53">
        <f t="shared" si="10"/>
        <v>167000000</v>
      </c>
      <c r="K115" s="53">
        <f t="shared" si="11"/>
        <v>-167000000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326</v>
      </c>
      <c r="H116" s="36">
        <f t="shared" si="8"/>
        <v>0</v>
      </c>
      <c r="I116" s="11">
        <f t="shared" si="9"/>
        <v>-52160000</v>
      </c>
      <c r="J116" s="53">
        <f t="shared" si="10"/>
        <v>0</v>
      </c>
      <c r="K116" s="53">
        <f t="shared" si="11"/>
        <v>-52160000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317</v>
      </c>
      <c r="H117" s="36">
        <f t="shared" si="8"/>
        <v>1</v>
      </c>
      <c r="I117" s="11">
        <f t="shared" si="9"/>
        <v>467680</v>
      </c>
      <c r="J117" s="53">
        <f t="shared" si="10"/>
        <v>33793356</v>
      </c>
      <c r="K117" s="53">
        <f t="shared" si="11"/>
        <v>-33325676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295</v>
      </c>
      <c r="H118" s="36">
        <f t="shared" si="8"/>
        <v>1</v>
      </c>
      <c r="I118" s="11">
        <f t="shared" si="9"/>
        <v>11583453000</v>
      </c>
      <c r="J118" s="53">
        <f t="shared" si="10"/>
        <v>0</v>
      </c>
      <c r="K118" s="53">
        <f t="shared" si="11"/>
        <v>11583453000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286</v>
      </c>
      <c r="H119" s="36">
        <f t="shared" si="8"/>
        <v>1</v>
      </c>
      <c r="I119" s="11">
        <f t="shared" si="9"/>
        <v>27223485</v>
      </c>
      <c r="J119" s="53">
        <f t="shared" si="10"/>
        <v>31365390</v>
      </c>
      <c r="K119" s="53">
        <f t="shared" si="11"/>
        <v>-4141905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282</v>
      </c>
      <c r="H120" s="11">
        <f t="shared" si="8"/>
        <v>1</v>
      </c>
      <c r="I120" s="11">
        <f t="shared" ref="I120:I155" si="13">B120*(G120-H120)</f>
        <v>562000000</v>
      </c>
      <c r="J120" s="11">
        <f t="shared" si="10"/>
        <v>0</v>
      </c>
      <c r="K120" s="11">
        <f t="shared" si="11"/>
        <v>562000000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256</v>
      </c>
      <c r="H121" s="11">
        <f t="shared" si="8"/>
        <v>1</v>
      </c>
      <c r="I121" s="11">
        <f t="shared" si="13"/>
        <v>663000000</v>
      </c>
      <c r="J121" s="11">
        <f t="shared" si="10"/>
        <v>0</v>
      </c>
      <c r="K121" s="11">
        <f t="shared" si="11"/>
        <v>663000000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255</v>
      </c>
      <c r="H122" s="11">
        <f t="shared" si="8"/>
        <v>1</v>
      </c>
      <c r="I122" s="11">
        <f t="shared" si="13"/>
        <v>97675954</v>
      </c>
      <c r="J122" s="11">
        <f t="shared" si="10"/>
        <v>28170632</v>
      </c>
      <c r="K122" s="11">
        <f t="shared" si="11"/>
        <v>69505322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254</v>
      </c>
      <c r="H123" s="11">
        <f t="shared" si="8"/>
        <v>0</v>
      </c>
      <c r="I123" s="11">
        <f t="shared" si="13"/>
        <v>0</v>
      </c>
      <c r="J123" s="11">
        <f t="shared" si="10"/>
        <v>203200000</v>
      </c>
      <c r="K123" s="11">
        <f t="shared" si="11"/>
        <v>-203200000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240</v>
      </c>
      <c r="H124" s="11">
        <f t="shared" si="8"/>
        <v>0</v>
      </c>
      <c r="I124" s="11">
        <f t="shared" si="13"/>
        <v>-720000000</v>
      </c>
      <c r="J124" s="11">
        <f t="shared" si="10"/>
        <v>0</v>
      </c>
      <c r="K124" s="11">
        <f t="shared" si="11"/>
        <v>-720000000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225</v>
      </c>
      <c r="H125" s="11">
        <f t="shared" si="8"/>
        <v>1</v>
      </c>
      <c r="I125" s="11">
        <f t="shared" si="13"/>
        <v>89759040</v>
      </c>
      <c r="J125" s="11">
        <f t="shared" si="10"/>
        <v>26628000</v>
      </c>
      <c r="K125" s="11">
        <f t="shared" si="11"/>
        <v>63131040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225</v>
      </c>
      <c r="H126" s="11">
        <f t="shared" si="8"/>
        <v>1</v>
      </c>
      <c r="I126" s="11">
        <f t="shared" si="13"/>
        <v>9408000000</v>
      </c>
      <c r="J126" s="11">
        <f t="shared" si="10"/>
        <v>0</v>
      </c>
      <c r="K126" s="11">
        <f t="shared" si="11"/>
        <v>9408000000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200</v>
      </c>
      <c r="H127" s="11">
        <f t="shared" si="8"/>
        <v>0</v>
      </c>
      <c r="I127" s="11">
        <f t="shared" si="13"/>
        <v>-1000000</v>
      </c>
      <c r="J127" s="11">
        <f t="shared" si="10"/>
        <v>0</v>
      </c>
      <c r="K127" s="11">
        <f t="shared" si="11"/>
        <v>-1000000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194</v>
      </c>
      <c r="H128" s="11">
        <f t="shared" si="8"/>
        <v>1</v>
      </c>
      <c r="I128" s="11">
        <f t="shared" si="13"/>
        <v>148875182</v>
      </c>
      <c r="J128" s="11">
        <f t="shared" si="10"/>
        <v>23294521</v>
      </c>
      <c r="K128" s="11">
        <f t="shared" si="11"/>
        <v>125580661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191</v>
      </c>
      <c r="H129" s="11">
        <f t="shared" si="8"/>
        <v>1</v>
      </c>
      <c r="I129" s="11">
        <f t="shared" si="13"/>
        <v>475000000</v>
      </c>
      <c r="J129" s="11">
        <f t="shared" si="10"/>
        <v>0</v>
      </c>
      <c r="K129" s="11">
        <f t="shared" si="11"/>
        <v>475000000</v>
      </c>
    </row>
    <row r="130" spans="1:13" x14ac:dyDescent="0.25">
      <c r="A130" s="11" t="s">
        <v>721</v>
      </c>
      <c r="B130" s="18">
        <v>-1000000</v>
      </c>
      <c r="C130" s="18">
        <v>-1000000</v>
      </c>
      <c r="D130" s="18">
        <f t="shared" si="12"/>
        <v>0</v>
      </c>
      <c r="E130" s="11" t="s">
        <v>742</v>
      </c>
      <c r="F130" s="11">
        <v>5</v>
      </c>
      <c r="G130" s="36">
        <f t="shared" si="7"/>
        <v>177</v>
      </c>
      <c r="H130" s="11">
        <f t="shared" si="8"/>
        <v>0</v>
      </c>
      <c r="I130" s="11">
        <f t="shared" si="13"/>
        <v>-177000000</v>
      </c>
      <c r="J130" s="11">
        <f t="shared" si="10"/>
        <v>-177000000</v>
      </c>
      <c r="K130" s="11">
        <f t="shared" si="11"/>
        <v>0</v>
      </c>
    </row>
    <row r="131" spans="1:13" x14ac:dyDescent="0.25">
      <c r="A131" s="11" t="s">
        <v>725</v>
      </c>
      <c r="B131" s="18">
        <v>-50000000</v>
      </c>
      <c r="C131" s="18">
        <v>0</v>
      </c>
      <c r="D131" s="18">
        <f t="shared" si="12"/>
        <v>-50000000</v>
      </c>
      <c r="E131" s="11" t="s">
        <v>726</v>
      </c>
      <c r="F131" s="11">
        <v>8</v>
      </c>
      <c r="G131" s="36">
        <f t="shared" ref="G131:G154" si="14">G132+F131</f>
        <v>172</v>
      </c>
      <c r="H131" s="11">
        <f t="shared" si="8"/>
        <v>0</v>
      </c>
      <c r="I131" s="11">
        <f t="shared" si="13"/>
        <v>-8600000000</v>
      </c>
      <c r="J131" s="11">
        <f t="shared" si="10"/>
        <v>0</v>
      </c>
      <c r="K131" s="11">
        <f t="shared" si="11"/>
        <v>-8600000000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164</v>
      </c>
      <c r="H132" s="11">
        <f t="shared" ref="H132:H155" si="15">IF(B132&gt;0,1,0)</f>
        <v>1</v>
      </c>
      <c r="I132" s="11">
        <f t="shared" si="13"/>
        <v>100128781</v>
      </c>
      <c r="J132" s="11">
        <f t="shared" ref="J132:J155" si="16">C132*(G132-H132)</f>
        <v>17273273</v>
      </c>
      <c r="K132" s="11">
        <f t="shared" ref="K132:K155" si="17">D132*(G132-H132)</f>
        <v>82855508</v>
      </c>
    </row>
    <row r="133" spans="1:13" x14ac:dyDescent="0.25">
      <c r="A133" s="11" t="s">
        <v>750</v>
      </c>
      <c r="B133" s="18">
        <v>-1210700</v>
      </c>
      <c r="C133" s="18">
        <v>0</v>
      </c>
      <c r="D133" s="18">
        <f t="shared" si="12"/>
        <v>-1210700</v>
      </c>
      <c r="E133" s="11" t="s">
        <v>751</v>
      </c>
      <c r="F133" s="11">
        <v>9</v>
      </c>
      <c r="G133" s="36">
        <f t="shared" si="14"/>
        <v>160</v>
      </c>
      <c r="H133" s="11">
        <f t="shared" si="15"/>
        <v>0</v>
      </c>
      <c r="I133" s="11">
        <f t="shared" si="13"/>
        <v>-193712000</v>
      </c>
      <c r="J133" s="11">
        <f t="shared" si="16"/>
        <v>0</v>
      </c>
      <c r="K133" s="11">
        <f t="shared" si="17"/>
        <v>-193712000</v>
      </c>
    </row>
    <row r="134" spans="1:13" x14ac:dyDescent="0.25">
      <c r="A134" s="11" t="s">
        <v>767</v>
      </c>
      <c r="B134" s="18">
        <v>-65000</v>
      </c>
      <c r="C134" s="18">
        <v>0</v>
      </c>
      <c r="D134" s="18">
        <f t="shared" si="12"/>
        <v>-65000</v>
      </c>
      <c r="E134" s="11" t="s">
        <v>770</v>
      </c>
      <c r="F134" s="11">
        <v>0</v>
      </c>
      <c r="G134" s="36">
        <f t="shared" si="14"/>
        <v>151</v>
      </c>
      <c r="H134" s="11">
        <f t="shared" si="15"/>
        <v>0</v>
      </c>
      <c r="I134" s="11">
        <f t="shared" si="13"/>
        <v>-9815000</v>
      </c>
      <c r="J134" s="11">
        <f t="shared" si="16"/>
        <v>0</v>
      </c>
      <c r="K134" s="11">
        <f t="shared" si="17"/>
        <v>-9815000</v>
      </c>
    </row>
    <row r="135" spans="1:13" x14ac:dyDescent="0.25">
      <c r="A135" s="11" t="s">
        <v>767</v>
      </c>
      <c r="B135" s="18">
        <v>-32300</v>
      </c>
      <c r="C135" s="18">
        <v>0</v>
      </c>
      <c r="D135" s="18">
        <f t="shared" si="12"/>
        <v>-32300</v>
      </c>
      <c r="E135" s="11" t="s">
        <v>771</v>
      </c>
      <c r="F135" s="11">
        <v>8</v>
      </c>
      <c r="G135" s="36">
        <f t="shared" si="14"/>
        <v>151</v>
      </c>
      <c r="H135" s="11">
        <f t="shared" si="15"/>
        <v>0</v>
      </c>
      <c r="I135" s="11">
        <f t="shared" si="13"/>
        <v>-4877300</v>
      </c>
      <c r="J135" s="11">
        <f t="shared" si="16"/>
        <v>0</v>
      </c>
      <c r="K135" s="11">
        <f t="shared" si="17"/>
        <v>-4877300</v>
      </c>
    </row>
    <row r="136" spans="1:13" x14ac:dyDescent="0.25">
      <c r="A136" s="11" t="s">
        <v>778</v>
      </c>
      <c r="B136" s="18">
        <v>-1000000</v>
      </c>
      <c r="C136" s="18">
        <v>-1000000</v>
      </c>
      <c r="D136" s="18">
        <f t="shared" si="12"/>
        <v>0</v>
      </c>
      <c r="E136" s="11" t="s">
        <v>779</v>
      </c>
      <c r="F136" s="11">
        <v>9</v>
      </c>
      <c r="G136" s="36">
        <f t="shared" si="14"/>
        <v>143</v>
      </c>
      <c r="H136" s="11">
        <f t="shared" si="15"/>
        <v>0</v>
      </c>
      <c r="I136" s="11">
        <f t="shared" si="13"/>
        <v>-143000000</v>
      </c>
      <c r="J136" s="11">
        <f t="shared" si="16"/>
        <v>-143000000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134</v>
      </c>
      <c r="H137" s="11">
        <f t="shared" si="15"/>
        <v>1</v>
      </c>
      <c r="I137" s="11">
        <f t="shared" si="13"/>
        <v>38686109</v>
      </c>
      <c r="J137" s="11">
        <f t="shared" si="16"/>
        <v>12948747</v>
      </c>
      <c r="K137" s="11">
        <f t="shared" si="17"/>
        <v>25737362</v>
      </c>
    </row>
    <row r="138" spans="1:13" x14ac:dyDescent="0.25">
      <c r="A138" s="11" t="s">
        <v>806</v>
      </c>
      <c r="B138" s="18">
        <v>-1000500</v>
      </c>
      <c r="C138" s="18">
        <v>-1000500</v>
      </c>
      <c r="D138" s="18">
        <f t="shared" si="12"/>
        <v>0</v>
      </c>
      <c r="E138" s="11" t="s">
        <v>807</v>
      </c>
      <c r="F138" s="11">
        <v>12</v>
      </c>
      <c r="G138" s="36">
        <f t="shared" si="14"/>
        <v>117</v>
      </c>
      <c r="H138" s="11">
        <f t="shared" si="15"/>
        <v>0</v>
      </c>
      <c r="I138" s="11">
        <f t="shared" si="13"/>
        <v>-117058500</v>
      </c>
      <c r="J138" s="11">
        <f t="shared" si="16"/>
        <v>-117058500</v>
      </c>
      <c r="K138" s="11">
        <f t="shared" si="17"/>
        <v>0</v>
      </c>
    </row>
    <row r="139" spans="1:13" x14ac:dyDescent="0.25">
      <c r="A139" s="11" t="s">
        <v>827</v>
      </c>
      <c r="B139" s="18">
        <v>282240</v>
      </c>
      <c r="C139" s="18">
        <v>88807</v>
      </c>
      <c r="D139" s="18">
        <f t="shared" si="12"/>
        <v>193433</v>
      </c>
      <c r="E139" s="11" t="s">
        <v>830</v>
      </c>
      <c r="F139" s="11">
        <v>3</v>
      </c>
      <c r="G139" s="36">
        <f t="shared" si="14"/>
        <v>105</v>
      </c>
      <c r="H139" s="11">
        <f t="shared" si="15"/>
        <v>1</v>
      </c>
      <c r="I139" s="11">
        <f t="shared" si="13"/>
        <v>29352960</v>
      </c>
      <c r="J139" s="11">
        <f t="shared" si="16"/>
        <v>9235928</v>
      </c>
      <c r="K139" s="11">
        <f t="shared" si="17"/>
        <v>20117032</v>
      </c>
    </row>
    <row r="140" spans="1:13" x14ac:dyDescent="0.25">
      <c r="A140" s="11" t="s">
        <v>832</v>
      </c>
      <c r="B140" s="18">
        <v>1500000</v>
      </c>
      <c r="C140" s="18">
        <v>0</v>
      </c>
      <c r="D140" s="18">
        <f t="shared" si="12"/>
        <v>1500000</v>
      </c>
      <c r="E140" s="11" t="s">
        <v>833</v>
      </c>
      <c r="F140" s="11">
        <v>13</v>
      </c>
      <c r="G140" s="36">
        <f t="shared" si="14"/>
        <v>102</v>
      </c>
      <c r="H140" s="11">
        <f t="shared" si="15"/>
        <v>1</v>
      </c>
      <c r="I140" s="11">
        <f t="shared" si="13"/>
        <v>151500000</v>
      </c>
      <c r="J140" s="11">
        <f t="shared" si="16"/>
        <v>0</v>
      </c>
      <c r="K140" s="11">
        <f t="shared" si="17"/>
        <v>151500000</v>
      </c>
    </row>
    <row r="141" spans="1:13" x14ac:dyDescent="0.25">
      <c r="A141" s="11" t="s">
        <v>855</v>
      </c>
      <c r="B141" s="18">
        <v>0</v>
      </c>
      <c r="C141" s="18">
        <v>-1000000</v>
      </c>
      <c r="D141" s="18">
        <f t="shared" si="12"/>
        <v>1000000</v>
      </c>
      <c r="E141" s="11" t="s">
        <v>854</v>
      </c>
      <c r="F141" s="11">
        <v>14</v>
      </c>
      <c r="G141" s="36">
        <f t="shared" si="14"/>
        <v>89</v>
      </c>
      <c r="H141" s="11">
        <f t="shared" si="15"/>
        <v>0</v>
      </c>
      <c r="I141" s="11">
        <f t="shared" si="13"/>
        <v>0</v>
      </c>
      <c r="J141" s="11">
        <f t="shared" si="16"/>
        <v>-89000000</v>
      </c>
      <c r="K141" s="11">
        <f t="shared" si="17"/>
        <v>89000000</v>
      </c>
    </row>
    <row r="142" spans="1:13" x14ac:dyDescent="0.25">
      <c r="A142" s="11" t="s">
        <v>868</v>
      </c>
      <c r="B142" s="18">
        <v>290893</v>
      </c>
      <c r="C142" s="18">
        <v>81022</v>
      </c>
      <c r="D142" s="18">
        <f t="shared" si="12"/>
        <v>209871</v>
      </c>
      <c r="E142" s="11" t="s">
        <v>874</v>
      </c>
      <c r="F142" s="11">
        <v>20</v>
      </c>
      <c r="G142" s="36">
        <f t="shared" si="14"/>
        <v>75</v>
      </c>
      <c r="H142" s="11">
        <f t="shared" si="15"/>
        <v>1</v>
      </c>
      <c r="I142" s="11">
        <f t="shared" si="13"/>
        <v>21526082</v>
      </c>
      <c r="J142" s="11">
        <f t="shared" si="16"/>
        <v>5995628</v>
      </c>
      <c r="K142" s="11">
        <f t="shared" si="17"/>
        <v>15530454</v>
      </c>
    </row>
    <row r="143" spans="1:13" x14ac:dyDescent="0.25">
      <c r="A143" s="11" t="s">
        <v>897</v>
      </c>
      <c r="B143" s="18">
        <v>0</v>
      </c>
      <c r="C143" s="18">
        <v>-1000000</v>
      </c>
      <c r="D143" s="18">
        <f t="shared" si="12"/>
        <v>1000000</v>
      </c>
      <c r="E143" s="11" t="s">
        <v>901</v>
      </c>
      <c r="F143" s="11">
        <v>10</v>
      </c>
      <c r="G143" s="36">
        <f t="shared" si="14"/>
        <v>55</v>
      </c>
      <c r="H143" s="11">
        <f t="shared" si="15"/>
        <v>0</v>
      </c>
      <c r="I143" s="11">
        <f t="shared" si="13"/>
        <v>0</v>
      </c>
      <c r="J143" s="11">
        <f t="shared" si="16"/>
        <v>-55000000</v>
      </c>
      <c r="K143" s="11">
        <f t="shared" si="17"/>
        <v>55000000</v>
      </c>
      <c r="M143" t="s">
        <v>25</v>
      </c>
    </row>
    <row r="144" spans="1:13" x14ac:dyDescent="0.25">
      <c r="A144" s="11" t="s">
        <v>906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45</v>
      </c>
      <c r="H144" s="11">
        <f t="shared" si="15"/>
        <v>1</v>
      </c>
      <c r="I144" s="11">
        <f t="shared" si="13"/>
        <v>12973488</v>
      </c>
      <c r="J144" s="11">
        <f t="shared" si="16"/>
        <v>3284908</v>
      </c>
      <c r="K144" s="11">
        <f t="shared" si="17"/>
        <v>9688580</v>
      </c>
    </row>
    <row r="145" spans="1:11" x14ac:dyDescent="0.25">
      <c r="A145" s="11" t="s">
        <v>931</v>
      </c>
      <c r="B145" s="18">
        <v>-10000</v>
      </c>
      <c r="C145" s="18">
        <v>-5000</v>
      </c>
      <c r="D145" s="18">
        <f t="shared" si="12"/>
        <v>-5000</v>
      </c>
      <c r="E145" s="74" t="s">
        <v>937</v>
      </c>
      <c r="F145" s="11">
        <v>5</v>
      </c>
      <c r="G145" s="36">
        <f t="shared" si="14"/>
        <v>30</v>
      </c>
      <c r="H145" s="11">
        <f t="shared" si="15"/>
        <v>0</v>
      </c>
      <c r="I145" s="11">
        <f t="shared" si="13"/>
        <v>-300000</v>
      </c>
      <c r="J145" s="11">
        <f t="shared" si="16"/>
        <v>-150000</v>
      </c>
      <c r="K145" s="11">
        <f t="shared" si="17"/>
        <v>-150000</v>
      </c>
    </row>
    <row r="146" spans="1:11" x14ac:dyDescent="0.25">
      <c r="A146" s="11" t="s">
        <v>917</v>
      </c>
      <c r="B146" s="18">
        <v>-1000500</v>
      </c>
      <c r="C146" s="18">
        <v>-1000500</v>
      </c>
      <c r="D146" s="18">
        <f t="shared" si="12"/>
        <v>0</v>
      </c>
      <c r="E146" s="11" t="s">
        <v>918</v>
      </c>
      <c r="F146" s="11">
        <v>6</v>
      </c>
      <c r="G146" s="36">
        <f t="shared" si="14"/>
        <v>25</v>
      </c>
      <c r="H146" s="11">
        <f t="shared" si="15"/>
        <v>0</v>
      </c>
      <c r="I146" s="11">
        <f t="shared" si="13"/>
        <v>-25012500</v>
      </c>
      <c r="J146" s="11">
        <f t="shared" si="16"/>
        <v>-25012500</v>
      </c>
      <c r="K146" s="11">
        <f t="shared" si="17"/>
        <v>0</v>
      </c>
    </row>
    <row r="147" spans="1:11" x14ac:dyDescent="0.25">
      <c r="A147" s="11" t="s">
        <v>958</v>
      </c>
      <c r="B147" s="18">
        <v>-27000000</v>
      </c>
      <c r="C147" s="18">
        <v>0</v>
      </c>
      <c r="D147" s="18">
        <f t="shared" si="12"/>
        <v>-27000000</v>
      </c>
      <c r="E147" s="11" t="s">
        <v>1042</v>
      </c>
      <c r="F147" s="11">
        <v>3</v>
      </c>
      <c r="G147" s="36">
        <f t="shared" si="14"/>
        <v>19</v>
      </c>
      <c r="H147" s="11">
        <f t="shared" si="15"/>
        <v>0</v>
      </c>
      <c r="I147" s="11">
        <f t="shared" si="13"/>
        <v>-513000000</v>
      </c>
      <c r="J147" s="11">
        <f t="shared" si="16"/>
        <v>0</v>
      </c>
      <c r="K147" s="11">
        <f t="shared" si="17"/>
        <v>-513000000</v>
      </c>
    </row>
    <row r="148" spans="1:11" x14ac:dyDescent="0.25">
      <c r="A148" s="11" t="s">
        <v>1068</v>
      </c>
      <c r="B148" s="18">
        <v>252436</v>
      </c>
      <c r="C148" s="18">
        <v>65510</v>
      </c>
      <c r="D148" s="18">
        <f t="shared" si="12"/>
        <v>186926</v>
      </c>
      <c r="E148" s="11" t="s">
        <v>1070</v>
      </c>
      <c r="F148" s="11">
        <v>8</v>
      </c>
      <c r="G148" s="36">
        <f t="shared" si="14"/>
        <v>16</v>
      </c>
      <c r="H148" s="11">
        <f t="shared" si="15"/>
        <v>1</v>
      </c>
      <c r="I148" s="11">
        <f t="shared" si="13"/>
        <v>3786540</v>
      </c>
      <c r="J148" s="11">
        <f t="shared" si="16"/>
        <v>982650</v>
      </c>
      <c r="K148" s="11">
        <f t="shared" si="17"/>
        <v>2803890</v>
      </c>
    </row>
    <row r="149" spans="1:11" x14ac:dyDescent="0.25">
      <c r="A149" s="11" t="s">
        <v>1108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1109</v>
      </c>
      <c r="F149" s="11">
        <v>7</v>
      </c>
      <c r="G149" s="36">
        <f t="shared" si="14"/>
        <v>8</v>
      </c>
      <c r="H149" s="11">
        <f t="shared" si="15"/>
        <v>1</v>
      </c>
      <c r="I149" s="11">
        <f t="shared" si="13"/>
        <v>366800000</v>
      </c>
      <c r="J149" s="11">
        <f t="shared" si="16"/>
        <v>0</v>
      </c>
      <c r="K149" s="11">
        <f t="shared" si="17"/>
        <v>366800000</v>
      </c>
    </row>
    <row r="150" spans="1:11" x14ac:dyDescent="0.25">
      <c r="A150" s="11" t="s">
        <v>1127</v>
      </c>
      <c r="B150" s="18">
        <v>-52000000</v>
      </c>
      <c r="C150" s="18">
        <v>0</v>
      </c>
      <c r="D150" s="18">
        <f t="shared" si="18"/>
        <v>-52000000</v>
      </c>
      <c r="E150" s="11" t="s">
        <v>1130</v>
      </c>
      <c r="F150" s="11">
        <v>1</v>
      </c>
      <c r="G150" s="36">
        <f t="shared" si="14"/>
        <v>1</v>
      </c>
      <c r="H150" s="11">
        <f t="shared" si="15"/>
        <v>0</v>
      </c>
      <c r="I150" s="11">
        <f t="shared" si="13"/>
        <v>-52000000</v>
      </c>
      <c r="J150" s="11">
        <f t="shared" si="16"/>
        <v>0</v>
      </c>
      <c r="K150" s="11">
        <f t="shared" si="17"/>
        <v>-52000000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8810063</v>
      </c>
      <c r="C156" s="29">
        <f>SUM(C2:C154)</f>
        <v>7551324</v>
      </c>
      <c r="D156" s="29">
        <f>SUM(D2:D154)</f>
        <v>1258739</v>
      </c>
      <c r="E156" s="11"/>
      <c r="F156" s="11"/>
      <c r="G156" s="11"/>
      <c r="H156" s="11"/>
      <c r="I156" s="29">
        <f>SUM(I2:I155)</f>
        <v>18559402411</v>
      </c>
      <c r="J156" s="29">
        <f>SUM(J2:J155)</f>
        <v>6846313507</v>
      </c>
      <c r="K156" s="29">
        <f>SUM(K2:K155)</f>
        <v>11713088904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25599175.739310347</v>
      </c>
      <c r="J159" s="29">
        <f>J156/G2</f>
        <v>9443191.0441379305</v>
      </c>
      <c r="K159" s="29">
        <f>K156/G2</f>
        <v>16155984.695172414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873</v>
      </c>
      <c r="G163" t="s">
        <v>25</v>
      </c>
      <c r="J163">
        <f>J156/I156*1448696</f>
        <v>534404.43677531462</v>
      </c>
      <c r="K163">
        <f>K156/I156*1448696</f>
        <v>914291.56322468526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832</v>
      </c>
      <c r="B3" s="18">
        <v>1500000</v>
      </c>
      <c r="C3" s="18">
        <v>0</v>
      </c>
      <c r="D3" s="43">
        <f t="shared" ref="D3:D22" si="0">B3-C3</f>
        <v>1500000</v>
      </c>
      <c r="E3" s="20" t="s">
        <v>833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853</v>
      </c>
      <c r="B4" s="18">
        <v>0</v>
      </c>
      <c r="C4" s="18">
        <v>-1000000</v>
      </c>
      <c r="D4" s="3">
        <f t="shared" si="0"/>
        <v>1000000</v>
      </c>
      <c r="E4" s="11" t="s">
        <v>854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868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841</v>
      </c>
      <c r="G31" s="9" t="s">
        <v>908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842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849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851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852</v>
      </c>
    </row>
    <row r="36" spans="4:17" x14ac:dyDescent="0.25">
      <c r="D36" s="42">
        <v>-10000</v>
      </c>
      <c r="E36" s="41" t="s">
        <v>862</v>
      </c>
    </row>
    <row r="37" spans="4:17" x14ac:dyDescent="0.25">
      <c r="D37" s="7">
        <v>-180000</v>
      </c>
      <c r="E37" s="41" t="s">
        <v>867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827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897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901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906</v>
      </c>
      <c r="B4" s="39">
        <v>294852</v>
      </c>
      <c r="C4" s="39">
        <v>74657</v>
      </c>
      <c r="D4" s="35">
        <f t="shared" si="0"/>
        <v>220195</v>
      </c>
      <c r="E4" s="23" t="s">
        <v>916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767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778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899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931</v>
      </c>
      <c r="B4" s="18">
        <v>-10000</v>
      </c>
      <c r="C4" s="18">
        <v>-5000</v>
      </c>
      <c r="D4" s="3">
        <f t="shared" si="0"/>
        <v>-5000</v>
      </c>
      <c r="E4" s="11" t="s">
        <v>937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958</v>
      </c>
      <c r="B5" s="18">
        <v>-27000000</v>
      </c>
      <c r="C5" s="18">
        <v>0</v>
      </c>
      <c r="D5" s="3">
        <f t="shared" si="0"/>
        <v>-27000000</v>
      </c>
      <c r="E5" s="20" t="s">
        <v>1043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1068</v>
      </c>
      <c r="B6" s="18">
        <v>252436</v>
      </c>
      <c r="C6" s="18">
        <v>65510</v>
      </c>
      <c r="D6" s="3">
        <f t="shared" si="0"/>
        <v>186926</v>
      </c>
      <c r="E6" s="19" t="s">
        <v>1070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919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949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1060</v>
      </c>
    </row>
    <row r="36" spans="4:17" x14ac:dyDescent="0.25">
      <c r="D36" s="42">
        <v>245000</v>
      </c>
      <c r="E36" s="41" t="s">
        <v>1060</v>
      </c>
    </row>
    <row r="37" spans="4:17" x14ac:dyDescent="0.25">
      <c r="D37" s="7">
        <v>-25000</v>
      </c>
      <c r="E37" s="41" t="s">
        <v>1064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zoomScaleNormal="100" workbookViewId="0">
      <pane ySplit="1" topLeftCell="A8" activePane="bottomLeft" state="frozen"/>
      <selection pane="bottomLeft" activeCell="C20" sqref="C2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963</v>
      </c>
      <c r="B1" s="11" t="s">
        <v>960</v>
      </c>
      <c r="C1" s="11" t="s">
        <v>961</v>
      </c>
      <c r="D1" s="11" t="s">
        <v>972</v>
      </c>
      <c r="E1" s="11" t="s">
        <v>974</v>
      </c>
      <c r="F1" s="11" t="s">
        <v>964</v>
      </c>
      <c r="G1" s="11" t="s">
        <v>183</v>
      </c>
      <c r="H1" s="11" t="s">
        <v>979</v>
      </c>
      <c r="I1" s="11" t="s">
        <v>969</v>
      </c>
      <c r="J1" s="11" t="s">
        <v>975</v>
      </c>
      <c r="K1" s="11" t="s">
        <v>976</v>
      </c>
      <c r="L1" s="11" t="s">
        <v>970</v>
      </c>
      <c r="M1" s="11" t="s">
        <v>977</v>
      </c>
      <c r="N1" s="11" t="s">
        <v>5</v>
      </c>
      <c r="O1" s="11" t="s">
        <v>483</v>
      </c>
      <c r="P1" s="11" t="s">
        <v>39</v>
      </c>
      <c r="Q1" s="11" t="s">
        <v>1048</v>
      </c>
      <c r="R1" s="11" t="s">
        <v>980</v>
      </c>
      <c r="S1" s="74" t="s">
        <v>1065</v>
      </c>
      <c r="AB1" s="11" t="s">
        <v>979</v>
      </c>
      <c r="AC1" s="25"/>
    </row>
    <row r="2" spans="1:33" x14ac:dyDescent="0.25">
      <c r="A2" s="76" t="s">
        <v>950</v>
      </c>
      <c r="B2" s="76" t="s">
        <v>971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20</v>
      </c>
      <c r="AC2" s="25"/>
    </row>
    <row r="3" spans="1:33" x14ac:dyDescent="0.25">
      <c r="A3" s="76" t="s">
        <v>950</v>
      </c>
      <c r="B3" s="76" t="s">
        <v>971</v>
      </c>
      <c r="C3" s="76">
        <v>400</v>
      </c>
      <c r="D3" s="76" t="s">
        <v>973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966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967</v>
      </c>
      <c r="AC3" s="82" t="s">
        <v>1054</v>
      </c>
      <c r="AD3" s="82" t="s">
        <v>1055</v>
      </c>
      <c r="AE3" s="82" t="s">
        <v>1056</v>
      </c>
      <c r="AF3" s="82" t="s">
        <v>1057</v>
      </c>
      <c r="AG3" s="82" t="s">
        <v>968</v>
      </c>
    </row>
    <row r="4" spans="1:33" x14ac:dyDescent="0.25">
      <c r="A4" s="79" t="s">
        <v>950</v>
      </c>
      <c r="B4" s="79" t="s">
        <v>962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80435.999558584095</v>
      </c>
      <c r="M4" s="81"/>
      <c r="N4" s="79"/>
      <c r="O4" s="79"/>
      <c r="P4" s="81"/>
      <c r="Q4" s="81"/>
      <c r="R4" s="79"/>
      <c r="S4" s="80">
        <v>0</v>
      </c>
      <c r="U4" s="82"/>
      <c r="V4" s="82"/>
      <c r="W4" s="85">
        <v>0</v>
      </c>
      <c r="X4" s="82"/>
      <c r="Y4" s="85"/>
      <c r="Z4" s="86">
        <f>W4-Y4</f>
        <v>0</v>
      </c>
      <c r="AA4" s="82"/>
      <c r="AB4" s="85">
        <f t="shared" ref="AB4:AB10" si="2">W4*AA4*$AB$2/(365*100)</f>
        <v>0</v>
      </c>
      <c r="AC4" s="85">
        <f>AB4</f>
        <v>0</v>
      </c>
      <c r="AD4" s="85">
        <v>0</v>
      </c>
      <c r="AE4" s="85">
        <f>Y4+AC4</f>
        <v>0</v>
      </c>
      <c r="AF4" s="85">
        <f>Z4+AD4</f>
        <v>0</v>
      </c>
      <c r="AG4" s="86">
        <f t="shared" ref="AG4:AG9" si="3">W4+AB4</f>
        <v>0</v>
      </c>
    </row>
    <row r="5" spans="1:33" x14ac:dyDescent="0.25">
      <c r="A5" s="79" t="s">
        <v>1051</v>
      </c>
      <c r="B5" s="79" t="s">
        <v>962</v>
      </c>
      <c r="C5" s="79">
        <v>3</v>
      </c>
      <c r="D5" s="79" t="s">
        <v>973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/>
      <c r="V5" s="82"/>
      <c r="W5" s="85">
        <v>0</v>
      </c>
      <c r="X5" s="82"/>
      <c r="Y5" s="85"/>
      <c r="Z5" s="86">
        <f t="shared" ref="Z5:Z8" si="4">W5-Y5</f>
        <v>0</v>
      </c>
      <c r="AA5" s="82"/>
      <c r="AB5" s="85">
        <f t="shared" si="2"/>
        <v>0</v>
      </c>
      <c r="AC5" s="85">
        <v>0</v>
      </c>
      <c r="AD5" s="85">
        <f>AB5</f>
        <v>0</v>
      </c>
      <c r="AE5" s="85">
        <f t="shared" ref="AE5:AE11" si="5">Y5+AC5</f>
        <v>0</v>
      </c>
      <c r="AF5" s="85">
        <f t="shared" ref="AF5:AF11" si="6">Z5+AD5</f>
        <v>0</v>
      </c>
      <c r="AG5" s="86">
        <f t="shared" si="3"/>
        <v>0</v>
      </c>
    </row>
    <row r="6" spans="1:33" x14ac:dyDescent="0.25">
      <c r="A6" s="76" t="s">
        <v>950</v>
      </c>
      <c r="B6" s="76" t="s">
        <v>962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80479.954179743028</v>
      </c>
      <c r="M6" s="76"/>
      <c r="N6" s="76"/>
      <c r="O6" s="76"/>
      <c r="P6" s="76"/>
      <c r="Q6" s="76"/>
      <c r="R6" s="77">
        <v>81000</v>
      </c>
      <c r="S6" s="77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76" t="s">
        <v>1062</v>
      </c>
      <c r="B7" s="76" t="s">
        <v>962</v>
      </c>
      <c r="C7" s="76">
        <v>497</v>
      </c>
      <c r="D7" s="76" t="s">
        <v>973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79" t="s">
        <v>959</v>
      </c>
      <c r="B8" s="79" t="s">
        <v>978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97352.15615882774</v>
      </c>
      <c r="M8" s="79"/>
      <c r="N8" s="79"/>
      <c r="O8" s="79"/>
      <c r="P8" s="79"/>
      <c r="Q8" s="79"/>
      <c r="R8" s="80"/>
      <c r="S8" s="80">
        <f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958</v>
      </c>
      <c r="B9" s="79" t="s">
        <v>978</v>
      </c>
      <c r="C9" s="79">
        <v>300</v>
      </c>
      <c r="D9" s="79" t="s">
        <v>973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7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959</v>
      </c>
      <c r="B10" s="76" t="s">
        <v>978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97346.880363612901</v>
      </c>
      <c r="M10" s="76"/>
      <c r="N10" s="76"/>
      <c r="O10" s="76"/>
      <c r="P10" s="78"/>
      <c r="Q10" s="78"/>
      <c r="R10" s="76"/>
      <c r="S10" s="77">
        <f t="shared" ref="S10" si="8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1062</v>
      </c>
      <c r="B11" s="76" t="s">
        <v>978</v>
      </c>
      <c r="C11" s="76">
        <v>100</v>
      </c>
      <c r="D11" s="76" t="s">
        <v>973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9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958</v>
      </c>
      <c r="B12" s="79" t="s">
        <v>1040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0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0</v>
      </c>
      <c r="X12" s="82"/>
      <c r="Y12" s="85">
        <f>SUM(Y4:Y10)</f>
        <v>0</v>
      </c>
      <c r="Z12" s="86">
        <f>SUM(Z4:Z9)</f>
        <v>0</v>
      </c>
      <c r="AA12" s="82"/>
      <c r="AB12" s="86">
        <f>SUM(AB4:AB10)</f>
        <v>0</v>
      </c>
      <c r="AC12" s="86">
        <f>SUM(AC4:AC10)</f>
        <v>0</v>
      </c>
      <c r="AD12" s="86">
        <f>SUM(AD4:AD10)</f>
        <v>0</v>
      </c>
      <c r="AE12" s="86">
        <f>SUM(AE4:AE11)</f>
        <v>0</v>
      </c>
      <c r="AF12" s="86">
        <f>SUM(AF4:AF11)</f>
        <v>0</v>
      </c>
      <c r="AG12" s="86">
        <f>SUM(AG4:AG10)</f>
        <v>0</v>
      </c>
    </row>
    <row r="13" spans="1:33" x14ac:dyDescent="0.25">
      <c r="A13" s="79" t="s">
        <v>958</v>
      </c>
      <c r="B13" s="79" t="s">
        <v>1040</v>
      </c>
      <c r="C13" s="79">
        <v>200</v>
      </c>
      <c r="D13" s="79" t="s">
        <v>973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0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958</v>
      </c>
      <c r="B14" s="76" t="s">
        <v>988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0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1">C14*E14+K14-F14</f>
        <v>-852355</v>
      </c>
      <c r="Z14" t="s">
        <v>754</v>
      </c>
      <c r="AA14" t="s">
        <v>452</v>
      </c>
    </row>
    <row r="15" spans="1:33" x14ac:dyDescent="0.25">
      <c r="A15" s="76" t="s">
        <v>958</v>
      </c>
      <c r="B15" s="76" t="s">
        <v>988</v>
      </c>
      <c r="C15" s="76">
        <v>200</v>
      </c>
      <c r="D15" s="76" t="s">
        <v>973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0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2">-C15*E15+K15+F15</f>
        <v>852475.85500000045</v>
      </c>
      <c r="Y15" t="s">
        <v>1058</v>
      </c>
      <c r="Z15" s="7">
        <f>Z12+Q70</f>
        <v>2401165.5</v>
      </c>
      <c r="AA15" s="7">
        <f>Y12+P70</f>
        <v>3802449.5</v>
      </c>
    </row>
    <row r="16" spans="1:33" x14ac:dyDescent="0.25">
      <c r="A16" s="79" t="s">
        <v>958</v>
      </c>
      <c r="B16" s="79" t="s">
        <v>971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-541.27183561643835</v>
      </c>
      <c r="J16" s="79">
        <v>7.2499999999999995E-2</v>
      </c>
      <c r="K16" s="80">
        <f t="shared" ref="K16:K21" si="13">C16*E16*J16/100</f>
        <v>7056.28</v>
      </c>
      <c r="L16" s="79">
        <f>(E16*(1+J16/100)+I16/C16)/(1-J17/100)-(S16/C16)*(G16/365)*($AB$2/100)</f>
        <v>97465.327560978476</v>
      </c>
      <c r="M16" s="81"/>
      <c r="N16" s="79"/>
      <c r="O16" s="79"/>
      <c r="P16" s="81"/>
      <c r="Q16" s="81"/>
      <c r="R16" s="79"/>
      <c r="S16" s="80">
        <f t="shared" ref="S16" si="14">C16*E16+K16-F16</f>
        <v>-138354.72000000067</v>
      </c>
      <c r="Y16" t="s">
        <v>1059</v>
      </c>
      <c r="Z16" s="7">
        <f>Z15-AF12</f>
        <v>2401165.5</v>
      </c>
      <c r="AA16" s="7">
        <f>AA15-AE12</f>
        <v>3802449.5</v>
      </c>
    </row>
    <row r="17" spans="1:30" x14ac:dyDescent="0.25">
      <c r="A17" s="79" t="s">
        <v>1062</v>
      </c>
      <c r="B17" s="79" t="s">
        <v>971</v>
      </c>
      <c r="C17" s="79">
        <v>100</v>
      </c>
      <c r="D17" s="79" t="s">
        <v>973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3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5">M17*N17/C16</f>
        <v>82077</v>
      </c>
      <c r="Q17" s="81">
        <f t="shared" ref="Q17" si="16">M17*O17/C16</f>
        <v>82077</v>
      </c>
      <c r="R17" s="79"/>
      <c r="S17" s="80">
        <f t="shared" ref="S17" si="17">-C17*E17+K17+F17</f>
        <v>149542.5</v>
      </c>
    </row>
    <row r="18" spans="1:30" x14ac:dyDescent="0.25">
      <c r="A18" s="76" t="s">
        <v>958</v>
      </c>
      <c r="B18" s="76" t="s">
        <v>971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-541.27183561643835</v>
      </c>
      <c r="J18" s="76">
        <v>7.2499999999999995E-2</v>
      </c>
      <c r="K18" s="77">
        <f t="shared" si="13"/>
        <v>7056.28</v>
      </c>
      <c r="L18" s="76">
        <f>(E18*(1+J18/100)+I18/C18)/(1-J19/100)-(S18/C18)*(G18/365)*($AB$2/100)</f>
        <v>97465.327560978476</v>
      </c>
      <c r="M18" s="78"/>
      <c r="N18" s="76"/>
      <c r="O18" s="76"/>
      <c r="P18" s="78"/>
      <c r="Q18" s="78"/>
      <c r="R18" s="76"/>
      <c r="S18" s="77">
        <f t="shared" ref="S18" si="18">C18*E18+K18-F18</f>
        <v>-138354.72000000067</v>
      </c>
      <c r="Y18" t="s">
        <v>1089</v>
      </c>
      <c r="Z18">
        <v>8</v>
      </c>
    </row>
    <row r="19" spans="1:30" x14ac:dyDescent="0.25">
      <c r="A19" s="76" t="s">
        <v>1062</v>
      </c>
      <c r="B19" s="76" t="s">
        <v>971</v>
      </c>
      <c r="C19" s="76">
        <v>100</v>
      </c>
      <c r="D19" s="76" t="s">
        <v>973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3"/>
        <v>7249.8549999999996</v>
      </c>
      <c r="L19" s="76">
        <v>8</v>
      </c>
      <c r="M19" s="78">
        <f t="shared" ref="M19" si="19">F19-F18</f>
        <v>263972</v>
      </c>
      <c r="N19" s="76">
        <v>50</v>
      </c>
      <c r="O19" s="76">
        <v>50</v>
      </c>
      <c r="P19" s="78">
        <f t="shared" ref="P19" si="20">M19*N19/C18</f>
        <v>131986</v>
      </c>
      <c r="Q19" s="78">
        <f t="shared" ref="Q19" si="21">M19*O19/C18</f>
        <v>131986</v>
      </c>
      <c r="R19" s="76"/>
      <c r="S19" s="77">
        <f t="shared" ref="S19" si="22">-C19*E19+K19+F19</f>
        <v>149632.85500000045</v>
      </c>
      <c r="Y19" t="s">
        <v>1090</v>
      </c>
      <c r="Z19">
        <v>18</v>
      </c>
    </row>
    <row r="20" spans="1:30" x14ac:dyDescent="0.25">
      <c r="A20" s="79" t="s">
        <v>958</v>
      </c>
      <c r="B20" s="79" t="s">
        <v>971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-1082.5436712328767</v>
      </c>
      <c r="J20" s="79">
        <v>7.2499999999999995E-2</v>
      </c>
      <c r="K20" s="80">
        <f t="shared" si="13"/>
        <v>14112.56</v>
      </c>
      <c r="L20" s="79">
        <f>(E20*(1+J20/100)+I20/C20)/(1-J21/100)-(S20/C20)*(G20/365)*($AB$2/100)</f>
        <v>97465.327560978476</v>
      </c>
      <c r="M20" s="81"/>
      <c r="N20" s="79"/>
      <c r="O20" s="79"/>
      <c r="P20" s="81"/>
      <c r="Q20" s="81"/>
      <c r="R20" s="79"/>
      <c r="S20" s="80">
        <f t="shared" ref="S20" si="23">C20*E20+K20-F20</f>
        <v>-276709.44000000134</v>
      </c>
    </row>
    <row r="21" spans="1:30" x14ac:dyDescent="0.25">
      <c r="A21" s="79" t="s">
        <v>1062</v>
      </c>
      <c r="B21" s="79" t="s">
        <v>971</v>
      </c>
      <c r="C21" s="79">
        <v>200</v>
      </c>
      <c r="D21" s="79" t="s">
        <v>973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3"/>
        <v>14355</v>
      </c>
      <c r="L21" s="79">
        <v>9</v>
      </c>
      <c r="M21" s="81">
        <f t="shared" ref="M21" si="24">F21-F20</f>
        <v>328309</v>
      </c>
      <c r="N21" s="79">
        <v>100</v>
      </c>
      <c r="O21" s="79">
        <v>100</v>
      </c>
      <c r="P21" s="81">
        <f t="shared" ref="P21" si="25">M21*N21/C20</f>
        <v>164154.5</v>
      </c>
      <c r="Q21" s="81">
        <f t="shared" ref="Q21" si="26">M21*O21/C20</f>
        <v>164154.5</v>
      </c>
      <c r="R21" s="79"/>
      <c r="S21" s="80">
        <f t="shared" ref="S21" si="27">-C21*E21+K21+F21</f>
        <v>299086</v>
      </c>
    </row>
    <row r="22" spans="1:30" x14ac:dyDescent="0.25">
      <c r="A22" s="76" t="s">
        <v>958</v>
      </c>
      <c r="B22" s="76" t="s">
        <v>984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-559.48580821917813</v>
      </c>
      <c r="J22" s="76">
        <v>7.2499999999999995E-2</v>
      </c>
      <c r="K22" s="77">
        <f t="shared" ref="K22:K23" si="28">C22*E22*J22/100</f>
        <v>7095.9375</v>
      </c>
      <c r="L22" s="76">
        <f>(E22*(1+J22/100)+I22/C22)/(1-J23/100)-(S22/C22)*(G22/365)*($AB$2/100)</f>
        <v>98015.981922419291</v>
      </c>
      <c r="M22" s="78"/>
      <c r="N22" s="76"/>
      <c r="O22" s="76"/>
      <c r="P22" s="78"/>
      <c r="Q22" s="78"/>
      <c r="R22" s="76"/>
      <c r="S22" s="77">
        <f t="shared" ref="S22" si="29">C22*E22+K22-F22</f>
        <v>-416020.0625</v>
      </c>
      <c r="W22" s="11" t="s">
        <v>981</v>
      </c>
      <c r="X22" s="11" t="s">
        <v>182</v>
      </c>
    </row>
    <row r="23" spans="1:30" x14ac:dyDescent="0.25">
      <c r="A23" s="76" t="s">
        <v>1062</v>
      </c>
      <c r="B23" s="76" t="s">
        <v>984</v>
      </c>
      <c r="C23" s="76">
        <v>100</v>
      </c>
      <c r="D23" s="76" t="s">
        <v>973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8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0">-C23*E23+K23+F23</f>
        <v>427982.92750000022</v>
      </c>
      <c r="W23" s="11" t="s">
        <v>982</v>
      </c>
      <c r="X23" s="3">
        <v>0</v>
      </c>
      <c r="AD23" t="s">
        <v>25</v>
      </c>
    </row>
    <row r="24" spans="1:30" x14ac:dyDescent="0.25">
      <c r="A24" s="79" t="s">
        <v>958</v>
      </c>
      <c r="B24" s="79" t="s">
        <v>971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-1623.8155068493152</v>
      </c>
      <c r="J24" s="79">
        <v>7.2499999999999995E-2</v>
      </c>
      <c r="K24" s="80">
        <f t="shared" ref="K24:K25" si="31">C24*E24*J24/100</f>
        <v>21168.84</v>
      </c>
      <c r="L24" s="79">
        <f>(E24*(1+J24/100)+I24/C24)/(1-J25/100)-(S24/C24)*(G24/365)*($AB$2/100)</f>
        <v>97465.327560978476</v>
      </c>
      <c r="M24" s="81"/>
      <c r="N24" s="79"/>
      <c r="O24" s="79"/>
      <c r="P24" s="81"/>
      <c r="Q24" s="81"/>
      <c r="R24" s="79"/>
      <c r="S24" s="80">
        <f t="shared" ref="S24" si="32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1062</v>
      </c>
      <c r="B25" s="79" t="s">
        <v>971</v>
      </c>
      <c r="C25" s="79">
        <v>300</v>
      </c>
      <c r="D25" s="79" t="s">
        <v>973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1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3">-C25*E25+K25+F25</f>
        <v>448628.5</v>
      </c>
      <c r="W25" s="11"/>
      <c r="X25" s="3">
        <v>0</v>
      </c>
    </row>
    <row r="26" spans="1:30" x14ac:dyDescent="0.25">
      <c r="A26" s="76" t="s">
        <v>958</v>
      </c>
      <c r="B26" s="76" t="s">
        <v>984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98015.981922419291</v>
      </c>
      <c r="M26" s="78"/>
      <c r="N26" s="76"/>
      <c r="O26" s="76"/>
      <c r="P26" s="78"/>
      <c r="Q26" s="78"/>
      <c r="R26" s="76"/>
      <c r="S26" s="77">
        <f t="shared" ref="S26" si="34">C26*E26+K26-F26</f>
        <v>-832040.125</v>
      </c>
      <c r="W26" s="11"/>
      <c r="X26" s="3">
        <v>0</v>
      </c>
    </row>
    <row r="27" spans="1:30" x14ac:dyDescent="0.25">
      <c r="A27" s="76" t="s">
        <v>1062</v>
      </c>
      <c r="B27" s="76" t="s">
        <v>984</v>
      </c>
      <c r="C27" s="76">
        <v>200</v>
      </c>
      <c r="D27" s="76" t="s">
        <v>973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5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958</v>
      </c>
      <c r="B28" s="90" t="s">
        <v>984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-2237.9432328767125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98012.862542445393</v>
      </c>
      <c r="M28" s="90"/>
      <c r="N28" s="90"/>
      <c r="O28" s="90"/>
      <c r="P28" s="90"/>
      <c r="Q28" s="90"/>
      <c r="R28" s="91"/>
      <c r="S28" s="91">
        <f t="shared" ref="S28" si="36">C28*E28+K28-F28</f>
        <v>-416020.0625</v>
      </c>
      <c r="W28" s="11"/>
      <c r="X28" s="3">
        <v>0</v>
      </c>
    </row>
    <row r="29" spans="1:30" x14ac:dyDescent="0.25">
      <c r="A29" s="90" t="s">
        <v>1099</v>
      </c>
      <c r="B29" s="90" t="s">
        <v>984</v>
      </c>
      <c r="C29" s="90">
        <v>100</v>
      </c>
      <c r="D29" s="90" t="s">
        <v>973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7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8">M29*N29/C28</f>
        <v>122958.5</v>
      </c>
      <c r="Q29" s="91">
        <f t="shared" ref="Q29" si="39">M29*O29/C28</f>
        <v>122958.5</v>
      </c>
      <c r="R29" s="90"/>
      <c r="S29" s="91">
        <f t="shared" ref="S29" si="40">-C29*E29+K29+F29</f>
        <v>463882.92750000022</v>
      </c>
      <c r="W29" s="11"/>
      <c r="X29" s="3"/>
      <c r="Z29" s="7">
        <f>X32-W12</f>
        <v>0</v>
      </c>
    </row>
    <row r="30" spans="1:30" x14ac:dyDescent="0.25">
      <c r="A30" s="79" t="s">
        <v>1051</v>
      </c>
      <c r="B30" s="79" t="s">
        <v>1040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0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0</v>
      </c>
    </row>
    <row r="31" spans="1:30" x14ac:dyDescent="0.25">
      <c r="A31" s="79" t="s">
        <v>1051</v>
      </c>
      <c r="B31" s="79" t="s">
        <v>1040</v>
      </c>
      <c r="C31" s="79">
        <v>143</v>
      </c>
      <c r="D31" s="79" t="s">
        <v>973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0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1051</v>
      </c>
      <c r="B32" s="76" t="s">
        <v>962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0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0</v>
      </c>
    </row>
    <row r="33" spans="1:24" x14ac:dyDescent="0.25">
      <c r="A33" s="76" t="s">
        <v>1051</v>
      </c>
      <c r="B33" s="76" t="s">
        <v>962</v>
      </c>
      <c r="C33" s="76">
        <v>500</v>
      </c>
      <c r="D33" s="76" t="s">
        <v>973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0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1051</v>
      </c>
      <c r="B34" s="79" t="s">
        <v>1040</v>
      </c>
      <c r="C34" s="79">
        <v>140</v>
      </c>
      <c r="D34" s="79" t="s">
        <v>1053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0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977</v>
      </c>
      <c r="X34" s="3">
        <f>X32-AG12</f>
        <v>0</v>
      </c>
    </row>
    <row r="35" spans="1:24" x14ac:dyDescent="0.25">
      <c r="A35" s="79" t="s">
        <v>1051</v>
      </c>
      <c r="B35" s="79" t="s">
        <v>1040</v>
      </c>
      <c r="C35" s="79">
        <v>140</v>
      </c>
      <c r="D35" s="79" t="s">
        <v>973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0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1062</v>
      </c>
      <c r="B36" s="76" t="s">
        <v>978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1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2">C36*E36+K36-F36</f>
        <v>-33703.5</v>
      </c>
    </row>
    <row r="37" spans="1:24" x14ac:dyDescent="0.25">
      <c r="A37" s="76" t="s">
        <v>1062</v>
      </c>
      <c r="B37" s="76" t="s">
        <v>978</v>
      </c>
      <c r="C37" s="76">
        <v>100</v>
      </c>
      <c r="D37" s="76" t="s">
        <v>973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1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1062</v>
      </c>
      <c r="B38" s="79" t="s">
        <v>985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3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4">C38*E38+K38-F38</f>
        <v>-1252998.5</v>
      </c>
    </row>
    <row r="39" spans="1:24" x14ac:dyDescent="0.25">
      <c r="A39" s="79" t="s">
        <v>1062</v>
      </c>
      <c r="B39" s="79" t="s">
        <v>985</v>
      </c>
      <c r="C39" s="79">
        <v>500</v>
      </c>
      <c r="D39" s="79" t="s">
        <v>973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3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5">M39*N39/C38</f>
        <v>216806.5</v>
      </c>
      <c r="Q39" s="81">
        <f t="shared" ref="Q39" si="46">M39*O39/C38</f>
        <v>216806.5</v>
      </c>
      <c r="R39" s="79"/>
      <c r="S39" s="80">
        <f t="shared" ref="S39" si="47">-C39*E39+K39+F39</f>
        <v>1252949</v>
      </c>
    </row>
    <row r="40" spans="1:24" x14ac:dyDescent="0.25">
      <c r="A40" s="76" t="s">
        <v>1062</v>
      </c>
      <c r="B40" s="76" t="s">
        <v>962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82589.914880068871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1099</v>
      </c>
      <c r="B41" s="76" t="s">
        <v>962</v>
      </c>
      <c r="C41" s="76">
        <v>8</v>
      </c>
      <c r="D41" s="76" t="s">
        <v>973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8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1062</v>
      </c>
      <c r="B42" s="79" t="s">
        <v>988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85778.80481263742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1100</v>
      </c>
      <c r="B43" s="79" t="s">
        <v>988</v>
      </c>
      <c r="C43" s="79">
        <v>1900</v>
      </c>
      <c r="D43" s="79" t="s">
        <v>973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49">M43*N43/C42</f>
        <v>505161.5</v>
      </c>
      <c r="Q43" s="81">
        <f t="shared" ref="Q43" si="50">M43*O43/C42</f>
        <v>505161.5</v>
      </c>
      <c r="R43" s="79"/>
      <c r="S43" s="80">
        <f t="shared" ref="S43" si="51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3"/>
        <v>0</v>
      </c>
      <c r="L52" s="76">
        <f t="shared" ref="L52" si="52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3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3"/>
        <v>0</v>
      </c>
      <c r="L53" s="76">
        <v>21</v>
      </c>
      <c r="M53" s="78">
        <f t="shared" ref="M53" si="54">F53-F52</f>
        <v>0</v>
      </c>
      <c r="N53" s="76">
        <v>50</v>
      </c>
      <c r="O53" s="76">
        <v>50</v>
      </c>
      <c r="P53" s="78">
        <f t="shared" ref="P53" si="55">M53*N53/C52</f>
        <v>0</v>
      </c>
      <c r="Q53" s="78">
        <f t="shared" ref="Q53" si="56">M53*O53/C52</f>
        <v>0</v>
      </c>
      <c r="R53" s="76"/>
      <c r="S53" s="89">
        <f t="shared" ref="S53" si="57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3"/>
        <v>0</v>
      </c>
      <c r="L54" s="79">
        <f t="shared" ref="L54" si="58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59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3"/>
        <v>0</v>
      </c>
      <c r="L55" s="79">
        <v>22</v>
      </c>
      <c r="M55" s="79">
        <f t="shared" ref="M55" si="60">F55-F54</f>
        <v>0</v>
      </c>
      <c r="N55" s="79">
        <v>50</v>
      </c>
      <c r="O55" s="79">
        <v>50</v>
      </c>
      <c r="P55" s="79">
        <f t="shared" ref="P55" si="61">M55*N55/C54</f>
        <v>0</v>
      </c>
      <c r="Q55" s="79">
        <f t="shared" ref="Q55" si="62">M55*O55/C54</f>
        <v>0</v>
      </c>
      <c r="R55" s="79"/>
      <c r="S55" s="80">
        <f t="shared" ref="S55" si="63">-C55*E55+K55+F55</f>
        <v>0</v>
      </c>
    </row>
    <row r="56" spans="1:20" x14ac:dyDescent="0.25">
      <c r="A56" s="16" t="s">
        <v>1105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4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5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6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7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8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69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0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1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2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1049</v>
      </c>
      <c r="Q71" s="11" t="s">
        <v>1050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5" spans="4:14" x14ac:dyDescent="0.25">
      <c r="D85" t="s">
        <v>25</v>
      </c>
    </row>
    <row r="86" spans="4:14" x14ac:dyDescent="0.25">
      <c r="G86" s="25"/>
    </row>
    <row r="87" spans="4:14" x14ac:dyDescent="0.25">
      <c r="I87" s="25"/>
    </row>
    <row r="88" spans="4:14" x14ac:dyDescent="0.25">
      <c r="I88" s="25"/>
    </row>
    <row r="89" spans="4:14" x14ac:dyDescent="0.25">
      <c r="I89" s="28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abSelected="1" zoomScaleNormal="100" workbookViewId="0">
      <pane xSplit="1" topLeftCell="B1" activePane="topRight" state="frozen"/>
      <selection pane="topRight" activeCell="O19" sqref="O19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1085</v>
      </c>
      <c r="M1" s="11" t="s">
        <v>996</v>
      </c>
      <c r="N1" s="11" t="s">
        <v>1075</v>
      </c>
      <c r="O1" s="11" t="s">
        <v>998</v>
      </c>
      <c r="P1" s="11" t="s">
        <v>1081</v>
      </c>
      <c r="Q1" s="11" t="s">
        <v>999</v>
      </c>
      <c r="R1" s="11" t="s">
        <v>1033</v>
      </c>
      <c r="S1" s="11" t="s">
        <v>1010</v>
      </c>
      <c r="T1" s="11" t="s">
        <v>965</v>
      </c>
      <c r="U1" s="69" t="s">
        <v>1080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979</v>
      </c>
      <c r="AD1" t="s">
        <v>1038</v>
      </c>
      <c r="AE1" t="s">
        <v>1039</v>
      </c>
      <c r="AI1">
        <v>0.51500000000000001</v>
      </c>
      <c r="AJ1" t="s">
        <v>1066</v>
      </c>
      <c r="AL1" t="s">
        <v>1076</v>
      </c>
      <c r="AM1" t="s">
        <v>1077</v>
      </c>
    </row>
    <row r="2" spans="1:39" x14ac:dyDescent="0.25">
      <c r="A2" s="92" t="s">
        <v>989</v>
      </c>
      <c r="B2" s="93">
        <f>$S2/(1+($AC$2-$O2+$P2)/36500)^$N2</f>
        <v>93536.470201937351</v>
      </c>
      <c r="C2" s="93">
        <f>$S2/(1+($AC$3-$O2+$P2)/36500)^$N2</f>
        <v>93653.331831125484</v>
      </c>
      <c r="D2" s="93">
        <f>$S2/(1+($AC$4-$O2+$P2)/36500)^$N2</f>
        <v>93799.616010095357</v>
      </c>
      <c r="E2" s="93">
        <f>$S2/(1+($AC$5-$O2+$P2)/36500)^$N2</f>
        <v>93946.13068879483</v>
      </c>
      <c r="F2" s="93">
        <f>$S2/(1+($AC$6-$O2+$P2)/36500)^$N2</f>
        <v>94092.876233588366</v>
      </c>
      <c r="G2" s="93">
        <f>$S2/(1+($AC$7-$O2+$P2)/36500)^$N2</f>
        <v>94239.853011421073</v>
      </c>
      <c r="H2" s="93">
        <f>$S2/(1+($AC$8-$O2+$P2)/36500)^$N2</f>
        <v>94387.061389833078</v>
      </c>
      <c r="I2" s="93">
        <f>$S2/(1+($AC$9-$O2+$P2)/36500)^$N2</f>
        <v>94534.501736948339</v>
      </c>
      <c r="J2" s="93">
        <f>$S2/(1+($AC$10-$O2+$P2)/36500)^$N2</f>
        <v>94682.174421483345</v>
      </c>
      <c r="K2" s="93">
        <f>$S2/(1+($AC$11-$O2+$P2)/36500)^$N2</f>
        <v>94830.0798127499</v>
      </c>
      <c r="L2" s="93">
        <f>$S2/(1+($AC$5-$O2+$P2)/36500)^$N2</f>
        <v>93946.13068879483</v>
      </c>
      <c r="M2" s="92" t="s">
        <v>1019</v>
      </c>
      <c r="N2" s="92">
        <f>132-$AD$19</f>
        <v>114</v>
      </c>
      <c r="O2" s="92">
        <v>0</v>
      </c>
      <c r="P2" s="92">
        <v>0</v>
      </c>
      <c r="Q2" s="92">
        <v>0</v>
      </c>
      <c r="R2" s="92">
        <f t="shared" ref="R2:R29" si="0">N2/30.5</f>
        <v>3.737704918032787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1067</v>
      </c>
    </row>
    <row r="3" spans="1:39" x14ac:dyDescent="0.25">
      <c r="A3" s="94" t="s">
        <v>990</v>
      </c>
      <c r="B3" s="95">
        <f t="shared" ref="B3:B29" si="2">$S3/(1+($AC$2-$O3+$P3)/36500)^$N3</f>
        <v>91637.161367615219</v>
      </c>
      <c r="C3" s="95">
        <f t="shared" ref="C3:C29" si="3">$S3/(1+($AC$3-$O3+$P3)/36500)^$N3</f>
        <v>91786.828785265461</v>
      </c>
      <c r="D3" s="95">
        <f t="shared" ref="D3:D29" si="4">$S3/(1+($AC$4-$O3+$P3)/36500)^$N3</f>
        <v>91974.259168066987</v>
      </c>
      <c r="E3" s="95">
        <f t="shared" ref="E3:E29" si="5">$S3/(1+($AC$5-$O3+$P3)/36500)^$N3</f>
        <v>92162.074861114903</v>
      </c>
      <c r="F3" s="95">
        <f t="shared" ref="F3:F29" si="6">$S3/(1+($AC$6-$O3+$P3)/36500)^$N3</f>
        <v>92350.27666180706</v>
      </c>
      <c r="G3" s="95">
        <f t="shared" ref="G3:G29" si="7">$S3/(1+($AC$7-$O3+$P3)/36500)^$N3</f>
        <v>92538.865369193591</v>
      </c>
      <c r="H3" s="95">
        <f t="shared" ref="H3:H29" si="8">$S3/(1+($AC$8-$O3+$P3)/36500)^$N3</f>
        <v>92727.841783998098</v>
      </c>
      <c r="I3" s="95">
        <f t="shared" ref="I3:I29" si="9">$S3/(1+($AC$9-$O3+$P3)/36500)^$N3</f>
        <v>92917.206708605387</v>
      </c>
      <c r="J3" s="95">
        <f t="shared" ref="J3:J29" si="10">$S3/(1+($AC$10-$O3+$P3)/36500)^$N3</f>
        <v>93106.960947074724</v>
      </c>
      <c r="K3" s="95">
        <f t="shared" ref="K3:K29" si="11">$S3/(1+($AC$11-$O3+$P3)/36500)^$N3</f>
        <v>93297.10530514596</v>
      </c>
      <c r="L3" s="95">
        <f t="shared" ref="L3:L29" si="12">$S3/(1+($AC$5-$O3+$P3)/36500)^$N3</f>
        <v>92162.074861114903</v>
      </c>
      <c r="M3" s="94" t="s">
        <v>1020</v>
      </c>
      <c r="N3" s="94">
        <f>167-$AD$19</f>
        <v>149</v>
      </c>
      <c r="O3" s="94">
        <v>0</v>
      </c>
      <c r="P3" s="94">
        <v>0</v>
      </c>
      <c r="Q3" s="94">
        <v>0</v>
      </c>
      <c r="R3" s="94">
        <f t="shared" si="0"/>
        <v>4.8852459016393439</v>
      </c>
      <c r="S3" s="95">
        <v>100000</v>
      </c>
      <c r="T3" s="95">
        <v>92000</v>
      </c>
      <c r="U3" s="95">
        <f t="shared" ref="U3:U29" si="13">B3*(1+$AC$2/36500)^N3</f>
        <v>99999.999999999985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991</v>
      </c>
      <c r="B4" s="97">
        <f t="shared" si="2"/>
        <v>90092.698526334381</v>
      </c>
      <c r="C4" s="97">
        <f t="shared" si="3"/>
        <v>90268.510301429968</v>
      </c>
      <c r="D4" s="97">
        <f t="shared" si="4"/>
        <v>90488.760284259435</v>
      </c>
      <c r="E4" s="97">
        <f t="shared" si="5"/>
        <v>90709.550690892356</v>
      </c>
      <c r="F4" s="97">
        <f t="shared" si="6"/>
        <v>90930.88285478903</v>
      </c>
      <c r="G4" s="97">
        <f t="shared" si="7"/>
        <v>91152.758112707888</v>
      </c>
      <c r="H4" s="97">
        <f t="shared" si="8"/>
        <v>91375.177804734572</v>
      </c>
      <c r="I4" s="97">
        <f t="shared" si="9"/>
        <v>91598.143274271541</v>
      </c>
      <c r="J4" s="97">
        <f t="shared" si="10"/>
        <v>91821.655868058122</v>
      </c>
      <c r="K4" s="97">
        <f t="shared" si="11"/>
        <v>92045.716936181561</v>
      </c>
      <c r="L4" s="97">
        <f t="shared" si="12"/>
        <v>90709.550690892356</v>
      </c>
      <c r="M4" s="96" t="s">
        <v>1021</v>
      </c>
      <c r="N4" s="96">
        <f>196-$AD$19</f>
        <v>178</v>
      </c>
      <c r="O4" s="96">
        <v>0</v>
      </c>
      <c r="P4" s="96">
        <v>0</v>
      </c>
      <c r="Q4" s="96">
        <v>0</v>
      </c>
      <c r="R4" s="96">
        <f t="shared" si="0"/>
        <v>5.8360655737704921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992</v>
      </c>
      <c r="B5" s="93">
        <f t="shared" si="2"/>
        <v>71055.172385686761</v>
      </c>
      <c r="C5" s="93">
        <f t="shared" si="3"/>
        <v>71510.334912403428</v>
      </c>
      <c r="D5" s="93">
        <f t="shared" si="4"/>
        <v>72083.397497043959</v>
      </c>
      <c r="E5" s="93">
        <f t="shared" si="5"/>
        <v>72661.060375323927</v>
      </c>
      <c r="F5" s="93">
        <f t="shared" si="6"/>
        <v>73243.360540127542</v>
      </c>
      <c r="G5" s="93">
        <f t="shared" si="7"/>
        <v>73830.335282298969</v>
      </c>
      <c r="H5" s="93">
        <f t="shared" si="8"/>
        <v>74422.022193102399</v>
      </c>
      <c r="I5" s="93">
        <f t="shared" si="9"/>
        <v>75018.459166595916</v>
      </c>
      <c r="J5" s="93">
        <f t="shared" si="10"/>
        <v>75619.684402106694</v>
      </c>
      <c r="K5" s="93">
        <f t="shared" si="11"/>
        <v>76225.736406701835</v>
      </c>
      <c r="L5" s="93">
        <f t="shared" si="12"/>
        <v>72661.060375323927</v>
      </c>
      <c r="M5" s="92" t="s">
        <v>1022</v>
      </c>
      <c r="N5" s="92">
        <f>601-$AD$19</f>
        <v>583</v>
      </c>
      <c r="O5" s="92">
        <v>0</v>
      </c>
      <c r="P5" s="92">
        <v>0</v>
      </c>
      <c r="Q5" s="92">
        <v>0</v>
      </c>
      <c r="R5" s="92">
        <f t="shared" si="0"/>
        <v>19.114754098360656</v>
      </c>
      <c r="S5" s="93">
        <v>100000</v>
      </c>
      <c r="T5" s="93">
        <v>73200</v>
      </c>
      <c r="U5" s="93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973</v>
      </c>
      <c r="AC5">
        <v>20</v>
      </c>
    </row>
    <row r="6" spans="1:39" x14ac:dyDescent="0.25">
      <c r="A6" s="94" t="s">
        <v>993</v>
      </c>
      <c r="B6" s="95">
        <f t="shared" si="2"/>
        <v>86167.517296725622</v>
      </c>
      <c r="C6" s="95">
        <f t="shared" si="3"/>
        <v>86407.564406254474</v>
      </c>
      <c r="D6" s="95">
        <f t="shared" si="4"/>
        <v>86708.567625146796</v>
      </c>
      <c r="E6" s="95">
        <f t="shared" si="5"/>
        <v>87010.623539942841</v>
      </c>
      <c r="F6" s="95">
        <f t="shared" si="6"/>
        <v>87313.735846721756</v>
      </c>
      <c r="G6" s="95">
        <f t="shared" si="7"/>
        <v>87617.908254576352</v>
      </c>
      <c r="H6" s="95">
        <f t="shared" si="8"/>
        <v>87923.144485687997</v>
      </c>
      <c r="I6" s="95">
        <f t="shared" si="9"/>
        <v>88229.448275346891</v>
      </c>
      <c r="J6" s="95">
        <f t="shared" si="10"/>
        <v>88536.823372014915</v>
      </c>
      <c r="K6" s="95">
        <f t="shared" si="11"/>
        <v>88845.273537376081</v>
      </c>
      <c r="L6" s="95">
        <f t="shared" si="12"/>
        <v>87010.623539942841</v>
      </c>
      <c r="M6" s="94" t="s">
        <v>1023</v>
      </c>
      <c r="N6" s="94">
        <f>272-$AD$19</f>
        <v>254</v>
      </c>
      <c r="O6" s="94">
        <v>0</v>
      </c>
      <c r="P6" s="94">
        <v>0</v>
      </c>
      <c r="Q6" s="94">
        <v>0</v>
      </c>
      <c r="R6" s="94">
        <f t="shared" si="0"/>
        <v>8.3278688524590159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994</v>
      </c>
      <c r="B7" s="97">
        <f t="shared" si="2"/>
        <v>72230.925041984403</v>
      </c>
      <c r="C7" s="97">
        <f t="shared" si="3"/>
        <v>72671.32953945022</v>
      </c>
      <c r="D7" s="97">
        <f t="shared" si="4"/>
        <v>73225.620027919547</v>
      </c>
      <c r="E7" s="97">
        <f t="shared" si="5"/>
        <v>73784.145965998978</v>
      </c>
      <c r="F7" s="97">
        <f t="shared" si="6"/>
        <v>74346.939776311934</v>
      </c>
      <c r="G7" s="97">
        <f t="shared" si="7"/>
        <v>74914.034130101019</v>
      </c>
      <c r="H7" s="97">
        <f t="shared" si="8"/>
        <v>75485.461949191973</v>
      </c>
      <c r="I7" s="97">
        <f t="shared" si="9"/>
        <v>76061.256407870402</v>
      </c>
      <c r="J7" s="97">
        <f t="shared" si="10"/>
        <v>76641.450934852124</v>
      </c>
      <c r="K7" s="97">
        <f t="shared" si="11"/>
        <v>77226.079215245147</v>
      </c>
      <c r="L7" s="97">
        <f t="shared" si="12"/>
        <v>73784.145965998978</v>
      </c>
      <c r="M7" s="96" t="s">
        <v>1024</v>
      </c>
      <c r="N7" s="96">
        <f>573-$AD$19</f>
        <v>555</v>
      </c>
      <c r="O7" s="96">
        <v>0</v>
      </c>
      <c r="P7" s="96">
        <v>0</v>
      </c>
      <c r="Q7" s="96">
        <v>0</v>
      </c>
      <c r="R7" s="96">
        <f t="shared" si="0"/>
        <v>18.196721311475411</v>
      </c>
      <c r="S7" s="97">
        <v>100000</v>
      </c>
      <c r="T7" s="97">
        <v>73600</v>
      </c>
      <c r="U7" s="97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995</v>
      </c>
      <c r="B8" s="93">
        <f t="shared" si="2"/>
        <v>85463.335830259501</v>
      </c>
      <c r="C8" s="93">
        <f t="shared" si="3"/>
        <v>85714.563303781077</v>
      </c>
      <c r="D8" s="93">
        <f t="shared" si="4"/>
        <v>86029.640314338685</v>
      </c>
      <c r="E8" s="93">
        <f t="shared" si="5"/>
        <v>86345.879849773439</v>
      </c>
      <c r="F8" s="93">
        <f t="shared" si="6"/>
        <v>86663.286215410524</v>
      </c>
      <c r="G8" s="93">
        <f t="shared" si="7"/>
        <v>86981.863732563637</v>
      </c>
      <c r="H8" s="93">
        <f t="shared" si="8"/>
        <v>87301.616738625104</v>
      </c>
      <c r="I8" s="93">
        <f t="shared" si="9"/>
        <v>87622.549587098547</v>
      </c>
      <c r="J8" s="93">
        <f t="shared" si="10"/>
        <v>87944.666647676117</v>
      </c>
      <c r="K8" s="93">
        <f t="shared" si="11"/>
        <v>88267.972306302981</v>
      </c>
      <c r="L8" s="93">
        <f t="shared" si="12"/>
        <v>86345.879849773439</v>
      </c>
      <c r="M8" s="92" t="s">
        <v>1026</v>
      </c>
      <c r="N8" s="92">
        <f>286-$AD$19</f>
        <v>268</v>
      </c>
      <c r="O8" s="92">
        <v>0</v>
      </c>
      <c r="P8" s="92">
        <v>0</v>
      </c>
      <c r="Q8" s="92">
        <v>0</v>
      </c>
      <c r="R8" s="92">
        <f t="shared" si="0"/>
        <v>8.7868852459016402</v>
      </c>
      <c r="S8" s="93">
        <v>100000</v>
      </c>
      <c r="T8" s="93">
        <v>86700</v>
      </c>
      <c r="U8" s="93">
        <f t="shared" si="13"/>
        <v>99999.999999999985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1011</v>
      </c>
      <c r="B9" s="95">
        <f t="shared" si="2"/>
        <v>76770.907006165115</v>
      </c>
      <c r="C9" s="95">
        <f t="shared" si="3"/>
        <v>77151.062461523703</v>
      </c>
      <c r="D9" s="95">
        <f t="shared" si="4"/>
        <v>77628.910987686584</v>
      </c>
      <c r="E9" s="95">
        <f t="shared" si="5"/>
        <v>78109.725754919913</v>
      </c>
      <c r="F9" s="95">
        <f t="shared" si="6"/>
        <v>78593.525217143237</v>
      </c>
      <c r="G9" s="95">
        <f t="shared" si="7"/>
        <v>79080.327943315657</v>
      </c>
      <c r="H9" s="95">
        <f t="shared" si="8"/>
        <v>79570.152618200955</v>
      </c>
      <c r="I9" s="95">
        <f t="shared" si="9"/>
        <v>80063.018043049582</v>
      </c>
      <c r="J9" s="95">
        <f t="shared" si="10"/>
        <v>80558.943136353002</v>
      </c>
      <c r="K9" s="95">
        <f t="shared" si="11"/>
        <v>81057.946934582389</v>
      </c>
      <c r="L9" s="95">
        <f t="shared" si="12"/>
        <v>78109.725754919913</v>
      </c>
      <c r="M9" s="94" t="s">
        <v>1025</v>
      </c>
      <c r="N9" s="94">
        <f>469-$AD$19</f>
        <v>451</v>
      </c>
      <c r="O9" s="94">
        <v>0</v>
      </c>
      <c r="P9" s="94">
        <v>0</v>
      </c>
      <c r="Q9" s="94">
        <v>0</v>
      </c>
      <c r="R9" s="94">
        <f t="shared" si="0"/>
        <v>14.78688524590164</v>
      </c>
      <c r="S9" s="95">
        <v>100000</v>
      </c>
      <c r="T9" s="95">
        <v>78300</v>
      </c>
      <c r="U9" s="95">
        <f t="shared" si="13"/>
        <v>100000.00000000001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1012</v>
      </c>
      <c r="B10" s="97">
        <f t="shared" si="2"/>
        <v>76770.907006165115</v>
      </c>
      <c r="C10" s="97">
        <f t="shared" si="3"/>
        <v>77151.062461523703</v>
      </c>
      <c r="D10" s="97">
        <f t="shared" si="4"/>
        <v>77628.910987686584</v>
      </c>
      <c r="E10" s="97">
        <f t="shared" si="5"/>
        <v>78109.725754919913</v>
      </c>
      <c r="F10" s="97">
        <f t="shared" si="6"/>
        <v>78593.525217143237</v>
      </c>
      <c r="G10" s="97">
        <f t="shared" si="7"/>
        <v>79080.327943315657</v>
      </c>
      <c r="H10" s="97">
        <f t="shared" si="8"/>
        <v>79570.152618200955</v>
      </c>
      <c r="I10" s="97">
        <f t="shared" si="9"/>
        <v>80063.018043049582</v>
      </c>
      <c r="J10" s="97">
        <f t="shared" si="10"/>
        <v>80558.943136353002</v>
      </c>
      <c r="K10" s="97">
        <f t="shared" si="11"/>
        <v>81057.946934582389</v>
      </c>
      <c r="L10" s="97">
        <f t="shared" si="12"/>
        <v>78109.725754919913</v>
      </c>
      <c r="M10" s="96" t="s">
        <v>1025</v>
      </c>
      <c r="N10" s="96">
        <f>469-$AD$19</f>
        <v>451</v>
      </c>
      <c r="O10" s="96">
        <v>0</v>
      </c>
      <c r="P10" s="96">
        <v>0</v>
      </c>
      <c r="Q10" s="96">
        <v>0</v>
      </c>
      <c r="R10" s="96">
        <f t="shared" si="0"/>
        <v>14.78688524590164</v>
      </c>
      <c r="S10" s="97">
        <v>100000</v>
      </c>
      <c r="T10" s="97">
        <v>77700</v>
      </c>
      <c r="U10" s="97">
        <f t="shared" si="13"/>
        <v>100000.00000000001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1013</v>
      </c>
      <c r="B11" s="93">
        <f t="shared" si="2"/>
        <v>70185.9346832382</v>
      </c>
      <c r="C11" s="93">
        <f t="shared" si="3"/>
        <v>70651.777360092834</v>
      </c>
      <c r="D11" s="93">
        <f t="shared" si="4"/>
        <v>71238.438381226937</v>
      </c>
      <c r="E11" s="93">
        <f t="shared" si="5"/>
        <v>71829.978907478304</v>
      </c>
      <c r="F11" s="93">
        <f t="shared" si="6"/>
        <v>72426.439591386632</v>
      </c>
      <c r="G11" s="93">
        <f t="shared" si="7"/>
        <v>73027.861424714371</v>
      </c>
      <c r="H11" s="93">
        <f t="shared" si="8"/>
        <v>73634.28574133951</v>
      </c>
      <c r="I11" s="93">
        <f t="shared" si="9"/>
        <v>74245.754220063856</v>
      </c>
      <c r="J11" s="93">
        <f t="shared" si="10"/>
        <v>74862.308887528838</v>
      </c>
      <c r="K11" s="93">
        <f t="shared" si="11"/>
        <v>75483.992121131116</v>
      </c>
      <c r="L11" s="93">
        <f t="shared" si="12"/>
        <v>71829.978907478304</v>
      </c>
      <c r="M11" s="92" t="s">
        <v>1029</v>
      </c>
      <c r="N11" s="92">
        <f>622-$AD$19</f>
        <v>604</v>
      </c>
      <c r="O11" s="92">
        <v>0</v>
      </c>
      <c r="P11" s="92">
        <v>0</v>
      </c>
      <c r="Q11" s="92">
        <v>0</v>
      </c>
      <c r="R11" s="92">
        <f t="shared" si="0"/>
        <v>19.803278688524589</v>
      </c>
      <c r="S11" s="93">
        <v>100000</v>
      </c>
      <c r="T11" s="93">
        <v>71800</v>
      </c>
      <c r="U11" s="93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1014</v>
      </c>
      <c r="B12" s="95">
        <f>$S12/(1+($AC$2-$O12+$P12)/36500)^$N12</f>
        <v>86826.594367165715</v>
      </c>
      <c r="C12" s="95">
        <f>$S12/(1+($AC$3-$O12+$P12)/36500)^$N12</f>
        <v>87056.08135290521</v>
      </c>
      <c r="D12" s="95">
        <f t="shared" si="4"/>
        <v>87343.796778381511</v>
      </c>
      <c r="E12" s="95">
        <f t="shared" si="5"/>
        <v>87632.467045728161</v>
      </c>
      <c r="F12" s="95">
        <f t="shared" si="6"/>
        <v>87922.095336925704</v>
      </c>
      <c r="G12" s="95">
        <f t="shared" si="7"/>
        <v>88212.684844588526</v>
      </c>
      <c r="H12" s="95">
        <f t="shared" si="8"/>
        <v>88504.238772028126</v>
      </c>
      <c r="I12" s="95">
        <f t="shared" si="9"/>
        <v>88796.760333264392</v>
      </c>
      <c r="J12" s="95">
        <f t="shared" si="10"/>
        <v>89090.252753077177</v>
      </c>
      <c r="K12" s="95">
        <f t="shared" si="11"/>
        <v>89384.719267045963</v>
      </c>
      <c r="L12" s="95">
        <f t="shared" si="12"/>
        <v>87632.467045728161</v>
      </c>
      <c r="M12" s="94" t="s">
        <v>1030</v>
      </c>
      <c r="N12" s="94">
        <f>259-$AD$19</f>
        <v>241</v>
      </c>
      <c r="O12" s="94">
        <v>0</v>
      </c>
      <c r="P12" s="94">
        <v>0</v>
      </c>
      <c r="Q12" s="94">
        <v>0</v>
      </c>
      <c r="R12" s="94">
        <f t="shared" si="0"/>
        <v>7.9016393442622954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1015</v>
      </c>
      <c r="B13" s="97">
        <f t="shared" si="2"/>
        <v>67641.504591413846</v>
      </c>
      <c r="C13" s="97">
        <f t="shared" si="3"/>
        <v>68137.458533977333</v>
      </c>
      <c r="D13" s="97">
        <f t="shared" si="4"/>
        <v>68762.525480874552</v>
      </c>
      <c r="E13" s="97">
        <f t="shared" si="5"/>
        <v>69393.335228337222</v>
      </c>
      <c r="F13" s="97">
        <f t="shared" si="6"/>
        <v>70029.940618052744</v>
      </c>
      <c r="G13" s="97">
        <f t="shared" si="7"/>
        <v>70672.394978627824</v>
      </c>
      <c r="H13" s="97">
        <f t="shared" si="8"/>
        <v>71320.752130143417</v>
      </c>
      <c r="I13" s="97">
        <f t="shared" si="9"/>
        <v>71975.066388635751</v>
      </c>
      <c r="J13" s="97">
        <f t="shared" si="10"/>
        <v>72635.392570708282</v>
      </c>
      <c r="K13" s="97">
        <f t="shared" si="11"/>
        <v>73301.785998160194</v>
      </c>
      <c r="L13" s="97">
        <f t="shared" si="12"/>
        <v>69393.335228337222</v>
      </c>
      <c r="M13" s="96" t="s">
        <v>1031</v>
      </c>
      <c r="N13" s="96">
        <f>685-$AD$19</f>
        <v>667</v>
      </c>
      <c r="O13" s="96">
        <v>0</v>
      </c>
      <c r="P13" s="96">
        <v>0</v>
      </c>
      <c r="Q13" s="96">
        <v>0</v>
      </c>
      <c r="R13" s="96">
        <f t="shared" si="0"/>
        <v>21.868852459016395</v>
      </c>
      <c r="S13" s="97">
        <v>100000</v>
      </c>
      <c r="T13" s="97">
        <v>70000</v>
      </c>
      <c r="U13" s="97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1016</v>
      </c>
      <c r="B14" s="93">
        <f t="shared" si="2"/>
        <v>68760.771156100207</v>
      </c>
      <c r="C14" s="93">
        <f t="shared" si="3"/>
        <v>69243.693365005238</v>
      </c>
      <c r="D14" s="93">
        <f t="shared" si="4"/>
        <v>69852.125979899036</v>
      </c>
      <c r="E14" s="93">
        <f t="shared" si="5"/>
        <v>70465.913229281112</v>
      </c>
      <c r="F14" s="93">
        <f t="shared" si="6"/>
        <v>71085.102311991795</v>
      </c>
      <c r="G14" s="93">
        <f t="shared" si="7"/>
        <v>71709.74084353428</v>
      </c>
      <c r="H14" s="93">
        <f t="shared" si="8"/>
        <v>72339.876859818323</v>
      </c>
      <c r="I14" s="93">
        <f t="shared" si="9"/>
        <v>72975.558820824212</v>
      </c>
      <c r="J14" s="93">
        <f t="shared" si="10"/>
        <v>73616.83561438632</v>
      </c>
      <c r="K14" s="93">
        <f t="shared" si="11"/>
        <v>74263.756559984686</v>
      </c>
      <c r="L14" s="93">
        <f t="shared" si="12"/>
        <v>70465.913229281112</v>
      </c>
      <c r="M14" s="92" t="s">
        <v>1032</v>
      </c>
      <c r="N14" s="92">
        <f>657-$AD$19</f>
        <v>639</v>
      </c>
      <c r="O14" s="92">
        <v>0</v>
      </c>
      <c r="P14" s="92">
        <v>0</v>
      </c>
      <c r="Q14" s="92">
        <v>0</v>
      </c>
      <c r="R14" s="92">
        <f t="shared" si="0"/>
        <v>20.950819672131146</v>
      </c>
      <c r="S14" s="93">
        <v>100000</v>
      </c>
      <c r="T14" s="93">
        <v>70700</v>
      </c>
      <c r="U14" s="93">
        <f t="shared" si="13"/>
        <v>100000.00000000001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1017</v>
      </c>
      <c r="B15" s="95">
        <f t="shared" si="2"/>
        <v>68760.771156100207</v>
      </c>
      <c r="C15" s="95">
        <f t="shared" si="3"/>
        <v>69243.693365005238</v>
      </c>
      <c r="D15" s="95">
        <f t="shared" si="4"/>
        <v>69852.125979899036</v>
      </c>
      <c r="E15" s="95">
        <f t="shared" si="5"/>
        <v>70465.913229281112</v>
      </c>
      <c r="F15" s="95">
        <f t="shared" si="6"/>
        <v>71085.102311991795</v>
      </c>
      <c r="G15" s="95">
        <f t="shared" si="7"/>
        <v>71709.74084353428</v>
      </c>
      <c r="H15" s="95">
        <f t="shared" si="8"/>
        <v>72339.876859818323</v>
      </c>
      <c r="I15" s="95">
        <f t="shared" si="9"/>
        <v>72975.558820824212</v>
      </c>
      <c r="J15" s="95">
        <f t="shared" si="10"/>
        <v>73616.83561438632</v>
      </c>
      <c r="K15" s="95">
        <f t="shared" si="11"/>
        <v>74263.756559984686</v>
      </c>
      <c r="L15" s="95">
        <f t="shared" si="12"/>
        <v>70465.913229281112</v>
      </c>
      <c r="M15" s="94" t="s">
        <v>1032</v>
      </c>
      <c r="N15" s="94">
        <f>657-$AD$19</f>
        <v>639</v>
      </c>
      <c r="O15" s="94">
        <v>0</v>
      </c>
      <c r="P15" s="94">
        <v>0</v>
      </c>
      <c r="Q15" s="94">
        <v>0</v>
      </c>
      <c r="R15" s="94">
        <f t="shared" si="0"/>
        <v>20.950819672131146</v>
      </c>
      <c r="S15" s="95">
        <v>100000</v>
      </c>
      <c r="T15" s="95">
        <v>71000</v>
      </c>
      <c r="U15" s="95">
        <f t="shared" si="13"/>
        <v>100000.00000000001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1018</v>
      </c>
      <c r="B16" s="97">
        <f t="shared" si="2"/>
        <v>71055.172385686761</v>
      </c>
      <c r="C16" s="97">
        <f t="shared" si="3"/>
        <v>71510.334912403428</v>
      </c>
      <c r="D16" s="97">
        <f t="shared" si="4"/>
        <v>72083.397497043959</v>
      </c>
      <c r="E16" s="97">
        <f t="shared" si="5"/>
        <v>72661.060375323927</v>
      </c>
      <c r="F16" s="97">
        <f t="shared" si="6"/>
        <v>73243.360540127542</v>
      </c>
      <c r="G16" s="97">
        <f t="shared" si="7"/>
        <v>73830.335282298969</v>
      </c>
      <c r="H16" s="97">
        <f t="shared" si="8"/>
        <v>74422.022193102399</v>
      </c>
      <c r="I16" s="97">
        <f t="shared" si="9"/>
        <v>75018.459166595916</v>
      </c>
      <c r="J16" s="97">
        <f t="shared" si="10"/>
        <v>75619.684402106694</v>
      </c>
      <c r="K16" s="97">
        <f t="shared" si="11"/>
        <v>76225.736406701835</v>
      </c>
      <c r="L16" s="97">
        <f t="shared" si="12"/>
        <v>72661.060375323927</v>
      </c>
      <c r="M16" s="96" t="s">
        <v>1022</v>
      </c>
      <c r="N16" s="96">
        <f>601-$AD$19</f>
        <v>583</v>
      </c>
      <c r="O16" s="96">
        <v>0</v>
      </c>
      <c r="P16" s="96">
        <v>0</v>
      </c>
      <c r="Q16" s="96">
        <v>0</v>
      </c>
      <c r="R16" s="96">
        <f t="shared" si="0"/>
        <v>19.114754098360656</v>
      </c>
      <c r="S16" s="97">
        <v>100000</v>
      </c>
      <c r="T16" s="97">
        <v>73100</v>
      </c>
      <c r="U16" s="97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1036</v>
      </c>
      <c r="B17" s="93">
        <f t="shared" si="2"/>
        <v>82975.514192858449</v>
      </c>
      <c r="C17" s="93">
        <f t="shared" si="3"/>
        <v>84238.825130772413</v>
      </c>
      <c r="D17" s="93">
        <f t="shared" si="4"/>
        <v>85845.065882487688</v>
      </c>
      <c r="E17" s="93">
        <f t="shared" si="5"/>
        <v>87481.956585962136</v>
      </c>
      <c r="F17" s="93">
        <f t="shared" si="6"/>
        <v>89150.082529025531</v>
      </c>
      <c r="G17" s="93">
        <f t="shared" si="7"/>
        <v>90850.040184433339</v>
      </c>
      <c r="H17" s="93">
        <f t="shared" si="8"/>
        <v>92582.437423692172</v>
      </c>
      <c r="I17" s="93">
        <f t="shared" si="9"/>
        <v>94347.893734895013</v>
      </c>
      <c r="J17" s="93">
        <f t="shared" si="10"/>
        <v>96147.040445224906</v>
      </c>
      <c r="K17" s="93">
        <f t="shared" si="11"/>
        <v>97980.520947017008</v>
      </c>
      <c r="L17" s="93">
        <f t="shared" si="12"/>
        <v>87481.956585962136</v>
      </c>
      <c r="M17" s="92" t="s">
        <v>1037</v>
      </c>
      <c r="N17" s="92">
        <f>1397-$AD$19</f>
        <v>1379</v>
      </c>
      <c r="O17" s="92">
        <v>17</v>
      </c>
      <c r="P17" s="92">
        <f>$AI$2</f>
        <v>0.54</v>
      </c>
      <c r="Q17" s="92">
        <v>6</v>
      </c>
      <c r="R17" s="92">
        <f t="shared" si="0"/>
        <v>45.213114754098363</v>
      </c>
      <c r="S17" s="93">
        <v>100000</v>
      </c>
      <c r="T17" s="93">
        <v>96000</v>
      </c>
      <c r="U17" s="93">
        <f t="shared" si="13"/>
        <v>186199.41462671774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984</v>
      </c>
      <c r="B18" s="95">
        <f>$S18/(1+($AC$2-$O18+$P18)/36500)^$N18</f>
        <v>98640.601846899168</v>
      </c>
      <c r="C18" s="95">
        <f t="shared" si="3"/>
        <v>99232.581680046962</v>
      </c>
      <c r="D18" s="95">
        <f>$S18/(1+($AC$4-$O18+$P18)/36500)^$N18</f>
        <v>99977.564165658885</v>
      </c>
      <c r="E18" s="95">
        <f t="shared" si="5"/>
        <v>100728.14988173965</v>
      </c>
      <c r="F18" s="95">
        <f t="shared" si="6"/>
        <v>101484.38104945396</v>
      </c>
      <c r="G18" s="95">
        <f t="shared" si="7"/>
        <v>102246.30020867963</v>
      </c>
      <c r="H18" s="95">
        <f t="shared" si="8"/>
        <v>103013.95022044475</v>
      </c>
      <c r="I18" s="95">
        <f t="shared" si="9"/>
        <v>103787.37426932082</v>
      </c>
      <c r="J18" s="95">
        <f t="shared" si="10"/>
        <v>104566.61586592268</v>
      </c>
      <c r="K18" s="95">
        <f t="shared" si="11"/>
        <v>105351.71884933006</v>
      </c>
      <c r="L18" s="95">
        <f t="shared" si="12"/>
        <v>100728.14988173965</v>
      </c>
      <c r="M18" s="94" t="s">
        <v>1003</v>
      </c>
      <c r="N18" s="94">
        <f>564-$AD$19</f>
        <v>546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17.901639344262296</v>
      </c>
      <c r="S18" s="95">
        <v>100000</v>
      </c>
      <c r="T18" s="95">
        <v>100000</v>
      </c>
      <c r="U18" s="95">
        <f t="shared" si="13"/>
        <v>135844.34406622179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1034</v>
      </c>
      <c r="AD18" t="s">
        <v>1074</v>
      </c>
      <c r="AF18" s="26"/>
    </row>
    <row r="19" spans="1:32" x14ac:dyDescent="0.25">
      <c r="A19" s="96" t="s">
        <v>985</v>
      </c>
      <c r="B19" s="97">
        <f t="shared" si="2"/>
        <v>91280.823623625081</v>
      </c>
      <c r="C19" s="97">
        <f t="shared" si="3"/>
        <v>91845.666069464554</v>
      </c>
      <c r="D19" s="97">
        <f t="shared" si="4"/>
        <v>92556.645616097318</v>
      </c>
      <c r="E19" s="97">
        <f t="shared" si="5"/>
        <v>93273.138724241944</v>
      </c>
      <c r="F19" s="97">
        <f t="shared" si="6"/>
        <v>93995.188227280742</v>
      </c>
      <c r="G19" s="97">
        <f t="shared" si="7"/>
        <v>94722.837292002092</v>
      </c>
      <c r="H19" s="97">
        <f t="shared" si="8"/>
        <v>95456.129421105856</v>
      </c>
      <c r="I19" s="97">
        <f t="shared" si="9"/>
        <v>96195.108455892594</v>
      </c>
      <c r="J19" s="97">
        <f t="shared" si="10"/>
        <v>96939.818578880368</v>
      </c>
      <c r="K19" s="97">
        <f t="shared" si="11"/>
        <v>97690.304316431037</v>
      </c>
      <c r="L19" s="97">
        <f t="shared" si="12"/>
        <v>93273.138724241944</v>
      </c>
      <c r="M19" s="96" t="s">
        <v>1004</v>
      </c>
      <c r="N19" s="96">
        <f>581-$AD$19</f>
        <v>563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18.459016393442624</v>
      </c>
      <c r="S19" s="97">
        <v>100000</v>
      </c>
      <c r="T19" s="97">
        <v>92000</v>
      </c>
      <c r="U19" s="97">
        <f t="shared" si="13"/>
        <v>126967.56652761344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1083</v>
      </c>
      <c r="AD19">
        <v>18</v>
      </c>
      <c r="AF19" s="26"/>
    </row>
    <row r="20" spans="1:32" x14ac:dyDescent="0.25">
      <c r="A20" s="92" t="s">
        <v>978</v>
      </c>
      <c r="B20" s="93">
        <f>$S20/(1+($AC$2-$O20+$P20)/36500)^$N20</f>
        <v>98470.130244337706</v>
      </c>
      <c r="C20" s="93">
        <f t="shared" si="3"/>
        <v>99136.020337759517</v>
      </c>
      <c r="D20" s="93">
        <f t="shared" si="4"/>
        <v>99974.729226191819</v>
      </c>
      <c r="E20" s="93">
        <f t="shared" si="5"/>
        <v>100820.54538073133</v>
      </c>
      <c r="F20" s="93">
        <f t="shared" si="6"/>
        <v>101673.52912736122</v>
      </c>
      <c r="G20" s="93">
        <f t="shared" si="7"/>
        <v>102533.74130492796</v>
      </c>
      <c r="H20" s="93">
        <f t="shared" si="8"/>
        <v>103401.24326953902</v>
      </c>
      <c r="I20" s="93">
        <f t="shared" si="9"/>
        <v>104276.09689892732</v>
      </c>
      <c r="J20" s="93">
        <f t="shared" si="10"/>
        <v>105158.36459695331</v>
      </c>
      <c r="K20" s="93">
        <f t="shared" si="11"/>
        <v>106048.1092980352</v>
      </c>
      <c r="L20" s="93">
        <f t="shared" si="12"/>
        <v>100820.54538073133</v>
      </c>
      <c r="M20" s="92" t="s">
        <v>1005</v>
      </c>
      <c r="N20" s="92">
        <f>633-$AD$19</f>
        <v>615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20.16393442622951</v>
      </c>
      <c r="S20" s="93">
        <v>100000</v>
      </c>
      <c r="T20" s="93">
        <v>100000</v>
      </c>
      <c r="U20" s="93">
        <f t="shared" si="13"/>
        <v>141206.4405238535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971</v>
      </c>
      <c r="B21" s="95">
        <f t="shared" si="2"/>
        <v>98302.417484084959</v>
      </c>
      <c r="C21" s="95">
        <f t="shared" si="3"/>
        <v>99040.950364873017</v>
      </c>
      <c r="D21" s="95">
        <f t="shared" si="4"/>
        <v>99971.935451451733</v>
      </c>
      <c r="E21" s="95">
        <f t="shared" si="5"/>
        <v>100911.68473277493</v>
      </c>
      <c r="F21" s="95">
        <f t="shared" si="6"/>
        <v>101860.28083581134</v>
      </c>
      <c r="G21" s="95">
        <f t="shared" si="7"/>
        <v>102817.80716764908</v>
      </c>
      <c r="H21" s="95">
        <f t="shared" si="8"/>
        <v>103784.34792290561</v>
      </c>
      <c r="I21" s="95">
        <f t="shared" si="9"/>
        <v>104759.98809112949</v>
      </c>
      <c r="J21" s="95">
        <f t="shared" si="10"/>
        <v>105744.81346438371</v>
      </c>
      <c r="K21" s="95">
        <f t="shared" si="11"/>
        <v>106738.91064477847</v>
      </c>
      <c r="L21" s="95">
        <f t="shared" si="12"/>
        <v>100911.68473277493</v>
      </c>
      <c r="M21" s="94" t="s">
        <v>1006</v>
      </c>
      <c r="N21" s="94">
        <f>701-$AD$19</f>
        <v>683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22.393442622950818</v>
      </c>
      <c r="S21" s="95">
        <v>100000</v>
      </c>
      <c r="T21" s="95">
        <v>100000</v>
      </c>
      <c r="U21" s="95">
        <f t="shared" si="13"/>
        <v>146697.86196841049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986</v>
      </c>
      <c r="B22" s="97">
        <f t="shared" si="2"/>
        <v>92667.653603888277</v>
      </c>
      <c r="C22" s="97">
        <f t="shared" si="3"/>
        <v>93391.42255589558</v>
      </c>
      <c r="D22" s="97">
        <f t="shared" si="4"/>
        <v>94304.09961661321</v>
      </c>
      <c r="E22" s="97">
        <f t="shared" si="5"/>
        <v>95225.708590743088</v>
      </c>
      <c r="F22" s="97">
        <f t="shared" si="6"/>
        <v>96156.337014611709</v>
      </c>
      <c r="G22" s="97">
        <f t="shared" si="7"/>
        <v>97096.073283616119</v>
      </c>
      <c r="H22" s="97">
        <f t="shared" si="8"/>
        <v>98045.006660745261</v>
      </c>
      <c r="I22" s="97">
        <f t="shared" si="9"/>
        <v>99003.227285015702</v>
      </c>
      <c r="J22" s="97">
        <f t="shared" si="10"/>
        <v>99970.826180194039</v>
      </c>
      <c r="K22" s="97">
        <f t="shared" si="11"/>
        <v>100947.89526337553</v>
      </c>
      <c r="L22" s="97">
        <f t="shared" si="12"/>
        <v>95225.708590743088</v>
      </c>
      <c r="M22" s="96" t="s">
        <v>1035</v>
      </c>
      <c r="N22" s="96">
        <f>728-$AD$19</f>
        <v>710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23.278688524590162</v>
      </c>
      <c r="S22" s="97">
        <v>100000</v>
      </c>
      <c r="T22" s="97">
        <v>95000</v>
      </c>
      <c r="U22" s="97">
        <f t="shared" si="13"/>
        <v>140494.93870135967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987</v>
      </c>
      <c r="B23" s="93">
        <f t="shared" si="2"/>
        <v>89959.266974037178</v>
      </c>
      <c r="C23" s="93">
        <f t="shared" si="3"/>
        <v>90605.237713348761</v>
      </c>
      <c r="D23" s="93">
        <f t="shared" si="4"/>
        <v>91419.238038530937</v>
      </c>
      <c r="E23" s="93">
        <f t="shared" si="5"/>
        <v>92240.562668212064</v>
      </c>
      <c r="F23" s="93">
        <f t="shared" si="6"/>
        <v>93069.277607495707</v>
      </c>
      <c r="G23" s="93">
        <f t="shared" si="7"/>
        <v>93905.449457284747</v>
      </c>
      <c r="H23" s="93">
        <f t="shared" si="8"/>
        <v>94749.14541955982</v>
      </c>
      <c r="I23" s="93">
        <f t="shared" si="9"/>
        <v>95600.433302893216</v>
      </c>
      <c r="J23" s="93">
        <f t="shared" si="10"/>
        <v>96459.381527905949</v>
      </c>
      <c r="K23" s="93">
        <f t="shared" si="11"/>
        <v>97326.059132761206</v>
      </c>
      <c r="L23" s="93">
        <f t="shared" si="12"/>
        <v>92240.562668212064</v>
      </c>
      <c r="M23" s="92" t="s">
        <v>1007</v>
      </c>
      <c r="N23" s="92">
        <f>671-$AD$19</f>
        <v>653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21.409836065573771</v>
      </c>
      <c r="S23" s="93">
        <v>100000</v>
      </c>
      <c r="T23" s="93">
        <v>90600</v>
      </c>
      <c r="U23" s="93">
        <f t="shared" si="13"/>
        <v>131907.32371405361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974</v>
      </c>
      <c r="AD23" t="s">
        <v>1084</v>
      </c>
      <c r="AE23" s="25"/>
      <c r="AF23" s="26"/>
    </row>
    <row r="24" spans="1:32" x14ac:dyDescent="0.25">
      <c r="A24" s="94" t="s">
        <v>988</v>
      </c>
      <c r="B24" s="95">
        <f t="shared" si="2"/>
        <v>83206.477348811502</v>
      </c>
      <c r="C24" s="95">
        <f t="shared" si="3"/>
        <v>84092.762189409652</v>
      </c>
      <c r="D24" s="95">
        <f>$S24/(1+($AC$4-$O24+$P24)/36500)^$N24</f>
        <v>85213.919447514054</v>
      </c>
      <c r="E24" s="95">
        <f t="shared" si="5"/>
        <v>86350.040072061864</v>
      </c>
      <c r="F24" s="95">
        <f t="shared" si="6"/>
        <v>87501.323978571963</v>
      </c>
      <c r="G24" s="95">
        <f t="shared" si="7"/>
        <v>88667.973756317107</v>
      </c>
      <c r="H24" s="95">
        <f t="shared" si="8"/>
        <v>89850.194704018155</v>
      </c>
      <c r="I24" s="95">
        <f t="shared" si="9"/>
        <v>91048.194866288875</v>
      </c>
      <c r="J24" s="95">
        <f t="shared" si="10"/>
        <v>92262.185070224252</v>
      </c>
      <c r="K24" s="95">
        <f t="shared" si="11"/>
        <v>93492.378962805829</v>
      </c>
      <c r="L24" s="95">
        <f t="shared" si="12"/>
        <v>86350.040072061864</v>
      </c>
      <c r="M24" s="94" t="s">
        <v>1008</v>
      </c>
      <c r="N24" s="94">
        <f>985-$AD$19</f>
        <v>967</v>
      </c>
      <c r="O24" s="94">
        <v>15</v>
      </c>
      <c r="P24" s="94">
        <f>$AI$2</f>
        <v>0.54</v>
      </c>
      <c r="Q24" s="94">
        <v>6</v>
      </c>
      <c r="R24" s="94">
        <f t="shared" si="0"/>
        <v>31.704918032786885</v>
      </c>
      <c r="S24" s="95">
        <v>100000</v>
      </c>
      <c r="T24" s="95">
        <v>85800</v>
      </c>
      <c r="U24" s="95">
        <f t="shared" si="13"/>
        <v>146659.34027916778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962</v>
      </c>
      <c r="B25" s="97">
        <f t="shared" si="2"/>
        <v>81691.951729603665</v>
      </c>
      <c r="C25" s="97">
        <f t="shared" si="3"/>
        <v>82001.219096175962</v>
      </c>
      <c r="D25" s="97">
        <f t="shared" si="4"/>
        <v>82389.455079488122</v>
      </c>
      <c r="E25" s="97">
        <f t="shared" si="5"/>
        <v>82779.534524935065</v>
      </c>
      <c r="F25" s="97">
        <f t="shared" si="6"/>
        <v>83171.466211261708</v>
      </c>
      <c r="G25" s="97">
        <f t="shared" si="7"/>
        <v>83565.258959120532</v>
      </c>
      <c r="H25" s="97">
        <f t="shared" si="8"/>
        <v>83960.921631309786</v>
      </c>
      <c r="I25" s="97">
        <f t="shared" si="9"/>
        <v>84358.463132941659</v>
      </c>
      <c r="J25" s="97">
        <f t="shared" si="10"/>
        <v>84757.892411666151</v>
      </c>
      <c r="K25" s="97">
        <f t="shared" si="11"/>
        <v>85159.218457879892</v>
      </c>
      <c r="L25" s="97">
        <f t="shared" si="12"/>
        <v>82779.534524935065</v>
      </c>
      <c r="M25" s="96" t="s">
        <v>1009</v>
      </c>
      <c r="N25" s="96">
        <f>363-$AD$19</f>
        <v>345</v>
      </c>
      <c r="O25" s="96">
        <v>0</v>
      </c>
      <c r="P25" s="96">
        <v>0</v>
      </c>
      <c r="Q25" s="96">
        <v>0</v>
      </c>
      <c r="R25" s="96">
        <f t="shared" si="0"/>
        <v>11.311475409836065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997</v>
      </c>
      <c r="B26" s="93">
        <f t="shared" si="2"/>
        <v>93562.278692987835</v>
      </c>
      <c r="C26" s="93">
        <f t="shared" si="3"/>
        <v>94854.789510791976</v>
      </c>
      <c r="D26" s="93">
        <f t="shared" si="4"/>
        <v>96495.586306749741</v>
      </c>
      <c r="E26" s="93">
        <f t="shared" si="5"/>
        <v>98164.788643868378</v>
      </c>
      <c r="F26" s="93">
        <f t="shared" si="6"/>
        <v>99862.888679316195</v>
      </c>
      <c r="G26" s="93">
        <f t="shared" si="7"/>
        <v>101590.38710429742</v>
      </c>
      <c r="H26" s="93">
        <f t="shared" si="8"/>
        <v>103347.79329223585</v>
      </c>
      <c r="I26" s="93">
        <f t="shared" si="9"/>
        <v>105135.62544939277</v>
      </c>
      <c r="J26" s="93">
        <f t="shared" si="10"/>
        <v>106954.41076815983</v>
      </c>
      <c r="K26" s="93">
        <f t="shared" si="11"/>
        <v>108804.68558307418</v>
      </c>
      <c r="L26" s="93">
        <f t="shared" si="12"/>
        <v>98164.788643868378</v>
      </c>
      <c r="M26" s="92" t="s">
        <v>1000</v>
      </c>
      <c r="N26" s="92">
        <f>1270-$AD$19</f>
        <v>1252</v>
      </c>
      <c r="O26" s="92">
        <v>20</v>
      </c>
      <c r="P26" s="92">
        <f>$AI$2</f>
        <v>0.54</v>
      </c>
      <c r="Q26" s="92">
        <v>6</v>
      </c>
      <c r="R26" s="92">
        <f t="shared" si="0"/>
        <v>41.049180327868854</v>
      </c>
      <c r="S26" s="93">
        <v>100000</v>
      </c>
      <c r="T26" s="93">
        <v>100000</v>
      </c>
      <c r="U26" s="93">
        <f t="shared" si="13"/>
        <v>194895.10854040505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1001</v>
      </c>
      <c r="B27" s="95">
        <f t="shared" si="2"/>
        <v>100078.27728714148</v>
      </c>
      <c r="C27" s="95">
        <f t="shared" si="3"/>
        <v>100447.4668762175</v>
      </c>
      <c r="D27" s="95">
        <f t="shared" si="4"/>
        <v>100910.87541034764</v>
      </c>
      <c r="E27" s="95">
        <f t="shared" si="5"/>
        <v>101376.42824499353</v>
      </c>
      <c r="F27" s="95">
        <f t="shared" si="6"/>
        <v>101844.135331923</v>
      </c>
      <c r="G27" s="95">
        <f t="shared" si="7"/>
        <v>102314.0066692134</v>
      </c>
      <c r="H27" s="95">
        <f t="shared" si="8"/>
        <v>102786.05230150004</v>
      </c>
      <c r="I27" s="95">
        <f t="shared" si="9"/>
        <v>103260.2823201665</v>
      </c>
      <c r="J27" s="95">
        <f t="shared" si="10"/>
        <v>103736.70686357086</v>
      </c>
      <c r="K27" s="95">
        <f t="shared" si="11"/>
        <v>104215.33611726861</v>
      </c>
      <c r="L27" s="95">
        <f t="shared" si="12"/>
        <v>101376.42824499353</v>
      </c>
      <c r="M27" s="94" t="s">
        <v>1002</v>
      </c>
      <c r="N27" s="94">
        <f>354-$AD$19</f>
        <v>336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11.016393442622951</v>
      </c>
      <c r="S27" s="95">
        <v>100000</v>
      </c>
      <c r="T27" s="95">
        <v>103000</v>
      </c>
      <c r="U27" s="95">
        <f t="shared" si="13"/>
        <v>121862.35689110852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1027</v>
      </c>
      <c r="B28" s="97">
        <f t="shared" si="2"/>
        <v>99173.847060974033</v>
      </c>
      <c r="C28" s="97">
        <f t="shared" si="3"/>
        <v>100000</v>
      </c>
      <c r="D28" s="97">
        <f t="shared" si="4"/>
        <v>101042.38881457293</v>
      </c>
      <c r="E28" s="97">
        <f t="shared" si="5"/>
        <v>102095.65787693139</v>
      </c>
      <c r="F28" s="97">
        <f t="shared" si="6"/>
        <v>103159.92090434582</v>
      </c>
      <c r="G28" s="97">
        <f t="shared" si="7"/>
        <v>104235.29280416756</v>
      </c>
      <c r="H28" s="97">
        <f t="shared" si="8"/>
        <v>105321.88968640468</v>
      </c>
      <c r="I28" s="97">
        <f t="shared" si="9"/>
        <v>106419.82887621237</v>
      </c>
      <c r="J28" s="97">
        <f t="shared" si="10"/>
        <v>107529.22892670185</v>
      </c>
      <c r="K28" s="97">
        <f t="shared" si="11"/>
        <v>108650.20963176762</v>
      </c>
      <c r="L28" s="97">
        <f t="shared" si="12"/>
        <v>102095.65787693139</v>
      </c>
      <c r="M28" s="96" t="s">
        <v>1028</v>
      </c>
      <c r="N28" s="96">
        <f>775-$AD$19</f>
        <v>757</v>
      </c>
      <c r="O28" s="96">
        <v>21</v>
      </c>
      <c r="P28" s="96">
        <v>0</v>
      </c>
      <c r="Q28" s="96">
        <v>1</v>
      </c>
      <c r="R28" s="96">
        <f t="shared" si="0"/>
        <v>24.819672131147541</v>
      </c>
      <c r="S28" s="97">
        <v>100000</v>
      </c>
      <c r="T28" s="97">
        <v>104000</v>
      </c>
      <c r="U28" s="97">
        <f t="shared" si="13"/>
        <v>154558.77114166488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1078</v>
      </c>
      <c r="B29" s="93">
        <f t="shared" si="2"/>
        <v>83719.971140406444</v>
      </c>
      <c r="C29" s="93">
        <f t="shared" si="3"/>
        <v>84933.171158955782</v>
      </c>
      <c r="D29" s="93">
        <f t="shared" si="4"/>
        <v>86474.442963180118</v>
      </c>
      <c r="E29" s="93">
        <f t="shared" si="5"/>
        <v>88043.705725257809</v>
      </c>
      <c r="F29" s="93">
        <f t="shared" si="6"/>
        <v>89641.468181362128</v>
      </c>
      <c r="G29" s="93">
        <f t="shared" si="7"/>
        <v>91268.248321202322</v>
      </c>
      <c r="H29" s="93">
        <f t="shared" si="8"/>
        <v>92924.57355639452</v>
      </c>
      <c r="I29" s="93">
        <f t="shared" si="9"/>
        <v>94610.980891821469</v>
      </c>
      <c r="J29" s="93">
        <f t="shared" si="10"/>
        <v>96328.017100591082</v>
      </c>
      <c r="K29" s="93">
        <f t="shared" si="11"/>
        <v>98076.238901513861</v>
      </c>
      <c r="L29" s="93">
        <f t="shared" si="12"/>
        <v>88043.705725257809</v>
      </c>
      <c r="M29" s="92" t="s">
        <v>1079</v>
      </c>
      <c r="N29" s="92">
        <f>1331-$AD$19</f>
        <v>1313</v>
      </c>
      <c r="O29" s="92">
        <v>17</v>
      </c>
      <c r="P29" s="92">
        <f>AI2</f>
        <v>0.54</v>
      </c>
      <c r="Q29" s="92">
        <v>6</v>
      </c>
      <c r="R29" s="92">
        <f t="shared" si="0"/>
        <v>43.049180327868854</v>
      </c>
      <c r="S29" s="93">
        <v>100000</v>
      </c>
      <c r="T29" s="93"/>
      <c r="U29" s="93">
        <f t="shared" si="13"/>
        <v>180741.10862177474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1091</v>
      </c>
    </row>
    <row r="2" spans="1:1" x14ac:dyDescent="0.25">
      <c r="A2" t="s">
        <v>1092</v>
      </c>
    </row>
    <row r="3" spans="1:1" x14ac:dyDescent="0.25">
      <c r="A3" t="s">
        <v>1093</v>
      </c>
    </row>
    <row r="4" spans="1:1" x14ac:dyDescent="0.25">
      <c r="A4" t="s">
        <v>1094</v>
      </c>
    </row>
    <row r="5" spans="1:1" x14ac:dyDescent="0.25">
      <c r="A5" t="s">
        <v>1095</v>
      </c>
    </row>
    <row r="6" spans="1:1" x14ac:dyDescent="0.25">
      <c r="A6" t="s">
        <v>1139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C115" sqref="C11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491</v>
      </c>
      <c r="F2" s="11">
        <f>IF(B2&gt;0,1,0)</f>
        <v>1</v>
      </c>
      <c r="G2" s="11">
        <f>B2*(E2-F2)</f>
        <v>24500000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487</v>
      </c>
      <c r="F3" s="11">
        <f t="shared" ref="F3:F38" si="1">IF(B3&gt;0,1,0)</f>
        <v>1</v>
      </c>
      <c r="G3" s="11">
        <f t="shared" ref="G3:G23" si="2">B3*(E3-F3)</f>
        <v>1458000000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486</v>
      </c>
      <c r="F4" s="11">
        <f t="shared" si="1"/>
        <v>1</v>
      </c>
      <c r="G4" s="11">
        <f t="shared" si="2"/>
        <v>1455000000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486</v>
      </c>
      <c r="F5" s="11">
        <f t="shared" si="1"/>
        <v>1</v>
      </c>
      <c r="G5" s="11">
        <f t="shared" si="2"/>
        <v>7275000000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485</v>
      </c>
      <c r="F6" s="11">
        <f t="shared" si="1"/>
        <v>1</v>
      </c>
      <c r="G6" s="11">
        <f t="shared" si="2"/>
        <v>1452000000</v>
      </c>
      <c r="K6" t="s">
        <v>288</v>
      </c>
      <c r="L6" s="34">
        <v>410023079974</v>
      </c>
      <c r="M6" s="33" t="s">
        <v>871</v>
      </c>
      <c r="N6" t="s">
        <v>1101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484</v>
      </c>
      <c r="F7" s="11">
        <f t="shared" si="1"/>
        <v>0</v>
      </c>
      <c r="G7" s="11">
        <f t="shared" si="2"/>
        <v>-1452000000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484</v>
      </c>
      <c r="F8" s="11">
        <f t="shared" si="1"/>
        <v>0</v>
      </c>
      <c r="G8" s="11">
        <f t="shared" si="2"/>
        <v>-96800000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484</v>
      </c>
      <c r="F9" s="11">
        <f t="shared" si="1"/>
        <v>1</v>
      </c>
      <c r="G9" s="11">
        <f>B9*(E9-F9)</f>
        <v>1449000000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483</v>
      </c>
      <c r="F10" s="11">
        <f t="shared" si="1"/>
        <v>1</v>
      </c>
      <c r="G10" s="11">
        <f t="shared" si="2"/>
        <v>1446000000</v>
      </c>
      <c r="K10" t="s">
        <v>1102</v>
      </c>
      <c r="L10" s="34">
        <v>410021484671</v>
      </c>
      <c r="M10" s="33" t="s">
        <v>1103</v>
      </c>
      <c r="N10" t="s">
        <v>1106</v>
      </c>
      <c r="O10" t="s">
        <v>1107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483</v>
      </c>
      <c r="F11" s="11">
        <f t="shared" si="1"/>
        <v>1</v>
      </c>
      <c r="G11" s="11">
        <f t="shared" si="2"/>
        <v>12050000000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480</v>
      </c>
      <c r="F12" s="11">
        <f t="shared" si="1"/>
        <v>1</v>
      </c>
      <c r="G12" s="11">
        <f t="shared" si="2"/>
        <v>478200070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480</v>
      </c>
      <c r="F13" s="11">
        <f t="shared" si="1"/>
        <v>1</v>
      </c>
      <c r="G13" s="11">
        <f t="shared" si="2"/>
        <v>1437000000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480</v>
      </c>
      <c r="F14" s="11">
        <f t="shared" si="1"/>
        <v>1</v>
      </c>
      <c r="G14" s="11">
        <f t="shared" si="2"/>
        <v>570534984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468</v>
      </c>
      <c r="F15" s="11">
        <f t="shared" si="1"/>
        <v>1</v>
      </c>
      <c r="G15" s="11">
        <f t="shared" si="2"/>
        <v>934000000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456</v>
      </c>
      <c r="F16" s="11">
        <f t="shared" si="1"/>
        <v>1</v>
      </c>
      <c r="G16" s="11">
        <f t="shared" si="2"/>
        <v>1365000000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455</v>
      </c>
      <c r="F17" s="11">
        <f t="shared" si="1"/>
        <v>1</v>
      </c>
      <c r="G17" s="11">
        <f t="shared" si="2"/>
        <v>1362000000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454</v>
      </c>
      <c r="F18" s="11">
        <f t="shared" si="1"/>
        <v>1</v>
      </c>
      <c r="G18" s="11">
        <f t="shared" si="2"/>
        <v>860700000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439</v>
      </c>
      <c r="F19" s="11">
        <f t="shared" si="1"/>
        <v>1</v>
      </c>
      <c r="G19" s="11">
        <f t="shared" si="2"/>
        <v>352376694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438</v>
      </c>
      <c r="F20" s="11">
        <f t="shared" si="1"/>
        <v>1</v>
      </c>
      <c r="G20" s="11">
        <f t="shared" si="2"/>
        <v>1311000000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432</v>
      </c>
      <c r="F21" s="11">
        <f t="shared" si="1"/>
        <v>1</v>
      </c>
      <c r="G21" s="11">
        <f t="shared" si="2"/>
        <v>215500000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418</v>
      </c>
      <c r="F22" s="11">
        <f t="shared" si="1"/>
        <v>0</v>
      </c>
      <c r="G22" s="11">
        <f t="shared" si="2"/>
        <v>-1254000000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410</v>
      </c>
      <c r="F23" s="11">
        <f t="shared" si="1"/>
        <v>1</v>
      </c>
      <c r="G23" s="11">
        <f t="shared" si="2"/>
        <v>1227000000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410</v>
      </c>
      <c r="F24" s="11">
        <f t="shared" si="1"/>
        <v>1</v>
      </c>
      <c r="G24" s="11">
        <f>B24*(E24-F24)</f>
        <v>258014787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408</v>
      </c>
      <c r="F25" s="11">
        <f t="shared" si="1"/>
        <v>0</v>
      </c>
      <c r="G25" s="11">
        <f t="shared" ref="G25:G30" si="3">B25*(E25-F25)</f>
        <v>-1305967200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406</v>
      </c>
      <c r="F26" s="11">
        <f t="shared" si="1"/>
        <v>0</v>
      </c>
      <c r="G26" s="11">
        <f t="shared" si="3"/>
        <v>-1218365400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404</v>
      </c>
      <c r="F27" s="11">
        <f t="shared" si="1"/>
        <v>1</v>
      </c>
      <c r="G27" s="11">
        <f t="shared" si="3"/>
        <v>403000000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404</v>
      </c>
      <c r="F28" s="11">
        <f t="shared" si="1"/>
        <v>1</v>
      </c>
      <c r="G28" s="11">
        <f t="shared" si="3"/>
        <v>2418000000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404</v>
      </c>
      <c r="F29" s="11">
        <f t="shared" si="1"/>
        <v>1</v>
      </c>
      <c r="G29" s="11">
        <f t="shared" si="3"/>
        <v>2337400000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404</v>
      </c>
      <c r="F30" s="11">
        <f t="shared" si="1"/>
        <v>0</v>
      </c>
      <c r="G30" s="11">
        <f t="shared" si="3"/>
        <v>-2020000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403</v>
      </c>
      <c r="F31" s="11">
        <f t="shared" si="1"/>
        <v>0</v>
      </c>
      <c r="G31" s="11">
        <f>B31*(E31-F31)</f>
        <v>-10478000000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401</v>
      </c>
      <c r="F32" s="11">
        <f t="shared" si="1"/>
        <v>0</v>
      </c>
      <c r="G32" s="11">
        <f>B32*(E32-F32)</f>
        <v>-10506200000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382</v>
      </c>
      <c r="F33" s="11">
        <f t="shared" si="1"/>
        <v>1</v>
      </c>
      <c r="G33" s="11">
        <f>B33*(E33-F33)</f>
        <v>124588905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364</v>
      </c>
      <c r="F34" s="11">
        <f t="shared" si="1"/>
        <v>1</v>
      </c>
      <c r="G34" s="11">
        <f t="shared" ref="G34:G126" si="4">B34*(E34-F34)</f>
        <v>10309200000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364</v>
      </c>
      <c r="F35" s="11">
        <f t="shared" si="1"/>
        <v>1</v>
      </c>
      <c r="G35" s="12">
        <f t="shared" si="4"/>
        <v>3993000000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349</v>
      </c>
      <c r="F36" s="11">
        <f t="shared" si="1"/>
        <v>1</v>
      </c>
      <c r="G36" s="11">
        <f t="shared" si="4"/>
        <v>145707948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349</v>
      </c>
      <c r="F37" s="11">
        <f t="shared" si="1"/>
        <v>0</v>
      </c>
      <c r="G37" s="11">
        <f t="shared" si="4"/>
        <v>-314100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348</v>
      </c>
      <c r="F38" s="11">
        <f t="shared" si="1"/>
        <v>1</v>
      </c>
      <c r="G38" s="12">
        <f t="shared" si="4"/>
        <v>694000000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348</v>
      </c>
      <c r="F39" s="11">
        <f>IF(B39&gt;0,1,0)</f>
        <v>1</v>
      </c>
      <c r="G39" s="11">
        <f t="shared" si="4"/>
        <v>694000000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334</v>
      </c>
      <c r="F40" s="11">
        <f>IF(B40&gt;0,1,0)</f>
        <v>0</v>
      </c>
      <c r="G40" s="11">
        <f t="shared" si="4"/>
        <v>-66800000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334</v>
      </c>
      <c r="F41" s="11">
        <f>IF(B41&gt;0,1,0)</f>
        <v>0</v>
      </c>
      <c r="G41" s="11">
        <f t="shared" si="4"/>
        <v>-207080000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334</v>
      </c>
      <c r="F42" s="11">
        <f t="shared" ref="F42:F126" si="5">IF(B42&gt;0,1,0)</f>
        <v>0</v>
      </c>
      <c r="G42" s="11">
        <f t="shared" si="4"/>
        <v>-40080000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332</v>
      </c>
      <c r="F43" s="11">
        <f t="shared" si="5"/>
        <v>1</v>
      </c>
      <c r="G43" s="11">
        <f t="shared" si="4"/>
        <v>215150000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332</v>
      </c>
      <c r="F44" s="11">
        <f t="shared" si="5"/>
        <v>0</v>
      </c>
      <c r="G44" s="11">
        <f t="shared" si="4"/>
        <v>-1660000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332</v>
      </c>
      <c r="F45" s="11">
        <f t="shared" si="5"/>
        <v>1</v>
      </c>
      <c r="G45" s="11">
        <f t="shared" si="4"/>
        <v>9599000000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328</v>
      </c>
      <c r="F46" s="11">
        <f t="shared" si="5"/>
        <v>0</v>
      </c>
      <c r="G46" s="11">
        <f t="shared" si="4"/>
        <v>-65600000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325</v>
      </c>
      <c r="F47" s="11">
        <f t="shared" si="5"/>
        <v>0</v>
      </c>
      <c r="G47" s="11">
        <f t="shared" si="4"/>
        <v>-65000000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324</v>
      </c>
      <c r="F48" s="11">
        <f t="shared" si="5"/>
        <v>0</v>
      </c>
      <c r="G48" s="11">
        <f t="shared" si="4"/>
        <v>-64800000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319</v>
      </c>
      <c r="F49" s="11">
        <f t="shared" si="5"/>
        <v>1</v>
      </c>
      <c r="G49" s="11">
        <f t="shared" si="4"/>
        <v>954000000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319</v>
      </c>
      <c r="F50" s="11">
        <f t="shared" si="5"/>
        <v>1</v>
      </c>
      <c r="G50" s="12">
        <f t="shared" si="4"/>
        <v>954000000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318</v>
      </c>
      <c r="F51" s="11">
        <f t="shared" si="5"/>
        <v>1</v>
      </c>
      <c r="G51" s="11">
        <f t="shared" si="4"/>
        <v>242757649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318</v>
      </c>
      <c r="F52" s="11">
        <f t="shared" si="5"/>
        <v>0</v>
      </c>
      <c r="G52" s="11">
        <f t="shared" si="4"/>
        <v>-63600000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311</v>
      </c>
      <c r="F53" s="11">
        <f t="shared" si="5"/>
        <v>0</v>
      </c>
      <c r="G53" s="11">
        <f t="shared" si="4"/>
        <v>-124555500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302</v>
      </c>
      <c r="F54" s="11">
        <f t="shared" si="5"/>
        <v>0</v>
      </c>
      <c r="G54" s="11">
        <f t="shared" si="4"/>
        <v>-302119592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296</v>
      </c>
      <c r="F55" s="11">
        <f t="shared" si="5"/>
        <v>0</v>
      </c>
      <c r="G55" s="11">
        <f t="shared" si="4"/>
        <v>-11840000000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287</v>
      </c>
      <c r="F56" s="11">
        <f t="shared" si="5"/>
        <v>1</v>
      </c>
      <c r="G56" s="11">
        <f t="shared" si="4"/>
        <v>247576472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260</v>
      </c>
      <c r="F57" s="11">
        <f t="shared" si="5"/>
        <v>0</v>
      </c>
      <c r="G57" s="11">
        <f t="shared" si="4"/>
        <v>-13052000000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259</v>
      </c>
      <c r="F58" s="11">
        <f t="shared" si="5"/>
        <v>0</v>
      </c>
      <c r="G58" s="11">
        <f t="shared" si="4"/>
        <v>-3159929500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256</v>
      </c>
      <c r="F59" s="11">
        <f t="shared" si="5"/>
        <v>1</v>
      </c>
      <c r="G59" s="11">
        <f t="shared" si="4"/>
        <v>136401030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255</v>
      </c>
      <c r="F60" s="11">
        <f t="shared" si="5"/>
        <v>0</v>
      </c>
      <c r="G60" s="11">
        <f t="shared" si="4"/>
        <v>-86190000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253</v>
      </c>
      <c r="F61" s="11">
        <f t="shared" si="5"/>
        <v>0</v>
      </c>
      <c r="G61" s="11">
        <f t="shared" si="4"/>
        <v>-37950000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249</v>
      </c>
      <c r="F62" s="11">
        <f t="shared" si="5"/>
        <v>0</v>
      </c>
      <c r="G62" s="11">
        <f t="shared" si="4"/>
        <v>-24900000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245</v>
      </c>
      <c r="F63" s="11">
        <f t="shared" si="5"/>
        <v>0</v>
      </c>
      <c r="G63" s="11">
        <f t="shared" si="4"/>
        <v>-49000000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245</v>
      </c>
      <c r="F64" s="11">
        <f t="shared" si="5"/>
        <v>0</v>
      </c>
      <c r="G64" s="11">
        <f t="shared" si="4"/>
        <v>-21315000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241</v>
      </c>
      <c r="F65" s="11">
        <f t="shared" si="5"/>
        <v>0</v>
      </c>
      <c r="G65" s="11">
        <f t="shared" si="4"/>
        <v>-6620270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240</v>
      </c>
      <c r="F66" s="11">
        <f t="shared" si="5"/>
        <v>0</v>
      </c>
      <c r="G66" s="11">
        <f t="shared" si="4"/>
        <v>-80160000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235</v>
      </c>
      <c r="F67" s="11">
        <f t="shared" si="5"/>
        <v>0</v>
      </c>
      <c r="G67" s="11">
        <f t="shared" si="4"/>
        <v>-4700000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234</v>
      </c>
      <c r="F68" s="11">
        <f t="shared" si="5"/>
        <v>0</v>
      </c>
      <c r="G68" s="11">
        <f t="shared" si="4"/>
        <v>-70317000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234</v>
      </c>
      <c r="F69" s="11">
        <f t="shared" si="5"/>
        <v>0</v>
      </c>
      <c r="G69" s="11">
        <f t="shared" si="4"/>
        <v>-23400000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229</v>
      </c>
      <c r="F70" s="11">
        <f t="shared" si="5"/>
        <v>0</v>
      </c>
      <c r="G70" s="11">
        <f t="shared" si="4"/>
        <v>-45800000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225</v>
      </c>
      <c r="F71" s="11">
        <f t="shared" si="5"/>
        <v>1</v>
      </c>
      <c r="G71" s="11">
        <f t="shared" si="4"/>
        <v>3447136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225</v>
      </c>
      <c r="F72" s="11">
        <f t="shared" si="5"/>
        <v>1</v>
      </c>
      <c r="G72" s="11">
        <f t="shared" si="4"/>
        <v>896000000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225</v>
      </c>
      <c r="F73" s="11">
        <f t="shared" si="5"/>
        <v>1</v>
      </c>
      <c r="G73" s="11">
        <f t="shared" si="4"/>
        <v>582400000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225</v>
      </c>
      <c r="F74" s="11">
        <f t="shared" si="5"/>
        <v>1</v>
      </c>
      <c r="G74" s="11">
        <f t="shared" si="4"/>
        <v>672000000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222</v>
      </c>
      <c r="F75" s="11">
        <f t="shared" si="5"/>
        <v>0</v>
      </c>
      <c r="G75" s="11">
        <f t="shared" si="4"/>
        <v>-44400000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219</v>
      </c>
      <c r="F76" s="11">
        <f t="shared" si="5"/>
        <v>0</v>
      </c>
      <c r="G76" s="11">
        <f t="shared" si="4"/>
        <v>-438153300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219</v>
      </c>
      <c r="F77" s="11">
        <f t="shared" si="5"/>
        <v>0</v>
      </c>
      <c r="G77" s="11">
        <f t="shared" si="4"/>
        <v>-43800000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215</v>
      </c>
      <c r="F78" s="11">
        <f t="shared" si="5"/>
        <v>1</v>
      </c>
      <c r="G78" s="11">
        <f t="shared" si="4"/>
        <v>428000000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207</v>
      </c>
      <c r="F79" s="11">
        <f t="shared" si="5"/>
        <v>0</v>
      </c>
      <c r="G79" s="11">
        <f t="shared" si="4"/>
        <v>-207103500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207</v>
      </c>
      <c r="F80" s="11">
        <f t="shared" si="5"/>
        <v>0</v>
      </c>
      <c r="G80" s="11">
        <f t="shared" si="4"/>
        <v>-29383650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204</v>
      </c>
      <c r="F81" s="11">
        <f t="shared" si="5"/>
        <v>0</v>
      </c>
      <c r="G81" s="11">
        <f t="shared" si="4"/>
        <v>-183702000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194</v>
      </c>
      <c r="F82" s="11">
        <f t="shared" si="5"/>
        <v>1</v>
      </c>
      <c r="G82" s="11">
        <f t="shared" si="4"/>
        <v>15681443</v>
      </c>
    </row>
    <row r="83" spans="1:7" x14ac:dyDescent="0.25">
      <c r="A83" s="11" t="s">
        <v>725</v>
      </c>
      <c r="B83" s="38">
        <v>50000000</v>
      </c>
      <c r="C83" s="11" t="s">
        <v>728</v>
      </c>
      <c r="D83" s="11">
        <v>1</v>
      </c>
      <c r="E83" s="11">
        <f t="shared" si="6"/>
        <v>172</v>
      </c>
      <c r="F83" s="11">
        <f t="shared" si="5"/>
        <v>1</v>
      </c>
      <c r="G83" s="11">
        <f t="shared" si="4"/>
        <v>8550000000</v>
      </c>
    </row>
    <row r="84" spans="1:7" x14ac:dyDescent="0.25">
      <c r="A84" s="11" t="s">
        <v>723</v>
      </c>
      <c r="B84" s="38">
        <v>30000000</v>
      </c>
      <c r="C84" s="11" t="s">
        <v>729</v>
      </c>
      <c r="D84" s="11">
        <v>0</v>
      </c>
      <c r="E84" s="11">
        <f t="shared" si="6"/>
        <v>171</v>
      </c>
      <c r="F84" s="11">
        <f t="shared" si="5"/>
        <v>1</v>
      </c>
      <c r="G84" s="11">
        <f t="shared" si="4"/>
        <v>5100000000</v>
      </c>
    </row>
    <row r="85" spans="1:7" x14ac:dyDescent="0.25">
      <c r="A85" s="11" t="s">
        <v>723</v>
      </c>
      <c r="B85" s="38">
        <v>-72500000</v>
      </c>
      <c r="C85" s="11" t="s">
        <v>730</v>
      </c>
      <c r="D85" s="11">
        <v>1</v>
      </c>
      <c r="E85" s="11">
        <f t="shared" si="6"/>
        <v>171</v>
      </c>
      <c r="F85" s="11">
        <f t="shared" si="5"/>
        <v>0</v>
      </c>
      <c r="G85" s="11">
        <f t="shared" si="4"/>
        <v>-12397500000</v>
      </c>
    </row>
    <row r="86" spans="1:7" x14ac:dyDescent="0.25">
      <c r="A86" s="11" t="s">
        <v>731</v>
      </c>
      <c r="B86" s="38">
        <v>-281000</v>
      </c>
      <c r="C86" s="11" t="s">
        <v>743</v>
      </c>
      <c r="D86" s="11">
        <v>5</v>
      </c>
      <c r="E86" s="11">
        <f t="shared" si="6"/>
        <v>170</v>
      </c>
      <c r="F86" s="11">
        <f t="shared" si="5"/>
        <v>0</v>
      </c>
      <c r="G86" s="11">
        <f t="shared" si="4"/>
        <v>-47770000</v>
      </c>
    </row>
    <row r="87" spans="1:7" x14ac:dyDescent="0.25">
      <c r="A87" s="11" t="s">
        <v>736</v>
      </c>
      <c r="B87" s="38">
        <v>2500000</v>
      </c>
      <c r="C87" s="11" t="s">
        <v>740</v>
      </c>
      <c r="D87" s="11">
        <v>1</v>
      </c>
      <c r="E87" s="11">
        <f t="shared" si="6"/>
        <v>165</v>
      </c>
      <c r="F87" s="11">
        <f t="shared" si="5"/>
        <v>1</v>
      </c>
      <c r="G87" s="11">
        <f t="shared" si="4"/>
        <v>410000000</v>
      </c>
    </row>
    <row r="88" spans="1:7" x14ac:dyDescent="0.25">
      <c r="A88" s="11" t="s">
        <v>632</v>
      </c>
      <c r="B88" s="38">
        <v>78340</v>
      </c>
      <c r="C88" s="11" t="s">
        <v>741</v>
      </c>
      <c r="D88" s="11">
        <v>5</v>
      </c>
      <c r="E88" s="11">
        <f t="shared" si="6"/>
        <v>164</v>
      </c>
      <c r="F88" s="11">
        <f t="shared" si="5"/>
        <v>1</v>
      </c>
      <c r="G88" s="11">
        <f t="shared" si="4"/>
        <v>12769420</v>
      </c>
    </row>
    <row r="89" spans="1:7" x14ac:dyDescent="0.25">
      <c r="A89" s="11" t="s">
        <v>748</v>
      </c>
      <c r="B89" s="38">
        <v>15000000</v>
      </c>
      <c r="C89" s="11" t="s">
        <v>749</v>
      </c>
      <c r="D89" s="11">
        <v>25</v>
      </c>
      <c r="E89" s="11">
        <f t="shared" si="6"/>
        <v>159</v>
      </c>
      <c r="F89" s="11">
        <f t="shared" si="5"/>
        <v>1</v>
      </c>
      <c r="G89" s="11">
        <f t="shared" si="4"/>
        <v>2370000000</v>
      </c>
    </row>
    <row r="90" spans="1:7" x14ac:dyDescent="0.25">
      <c r="A90" s="11" t="s">
        <v>633</v>
      </c>
      <c r="B90" s="38">
        <v>244846</v>
      </c>
      <c r="C90" s="11" t="s">
        <v>783</v>
      </c>
      <c r="D90" s="11">
        <v>29</v>
      </c>
      <c r="E90" s="11">
        <f t="shared" si="6"/>
        <v>134</v>
      </c>
      <c r="F90" s="11">
        <f t="shared" si="5"/>
        <v>1</v>
      </c>
      <c r="G90" s="11">
        <f t="shared" si="4"/>
        <v>32564518</v>
      </c>
    </row>
    <row r="91" spans="1:7" x14ac:dyDescent="0.25">
      <c r="A91" s="11" t="s">
        <v>827</v>
      </c>
      <c r="B91" s="38">
        <v>272155</v>
      </c>
      <c r="C91" s="11" t="s">
        <v>829</v>
      </c>
      <c r="D91" s="11">
        <v>30</v>
      </c>
      <c r="E91" s="11">
        <f t="shared" si="6"/>
        <v>105</v>
      </c>
      <c r="F91" s="11">
        <f t="shared" si="5"/>
        <v>1</v>
      </c>
      <c r="G91" s="11">
        <f t="shared" si="4"/>
        <v>28304120</v>
      </c>
    </row>
    <row r="92" spans="1:7" x14ac:dyDescent="0.25">
      <c r="A92" s="11" t="s">
        <v>868</v>
      </c>
      <c r="B92" s="38">
        <v>3000000</v>
      </c>
      <c r="C92" s="11" t="s">
        <v>870</v>
      </c>
      <c r="D92" s="11">
        <v>0</v>
      </c>
      <c r="E92" s="11">
        <f t="shared" si="6"/>
        <v>75</v>
      </c>
      <c r="F92" s="11">
        <f t="shared" si="5"/>
        <v>1</v>
      </c>
      <c r="G92" s="11">
        <f t="shared" si="4"/>
        <v>222000000</v>
      </c>
    </row>
    <row r="93" spans="1:7" x14ac:dyDescent="0.25">
      <c r="A93" s="11" t="s">
        <v>868</v>
      </c>
      <c r="B93" s="35">
        <v>274385</v>
      </c>
      <c r="C93" s="11" t="s">
        <v>264</v>
      </c>
      <c r="D93" s="11">
        <v>1</v>
      </c>
      <c r="E93" s="11">
        <f t="shared" si="6"/>
        <v>75</v>
      </c>
      <c r="F93" s="11">
        <f t="shared" si="5"/>
        <v>1</v>
      </c>
      <c r="G93" s="11">
        <f t="shared" si="4"/>
        <v>20304490</v>
      </c>
    </row>
    <row r="94" spans="1:7" x14ac:dyDescent="0.25">
      <c r="A94" s="11" t="s">
        <v>877</v>
      </c>
      <c r="B94" s="38">
        <v>5500000</v>
      </c>
      <c r="C94" s="11" t="s">
        <v>878</v>
      </c>
      <c r="D94" s="11">
        <v>1</v>
      </c>
      <c r="E94" s="11">
        <f t="shared" si="6"/>
        <v>74</v>
      </c>
      <c r="F94" s="11">
        <f t="shared" si="5"/>
        <v>1</v>
      </c>
      <c r="G94" s="11">
        <f t="shared" si="4"/>
        <v>401500000</v>
      </c>
    </row>
    <row r="95" spans="1:7" x14ac:dyDescent="0.25">
      <c r="A95" s="11" t="s">
        <v>879</v>
      </c>
      <c r="B95" s="38">
        <v>3000000</v>
      </c>
      <c r="C95" s="11" t="s">
        <v>880</v>
      </c>
      <c r="D95" s="11">
        <v>1</v>
      </c>
      <c r="E95" s="11">
        <f t="shared" si="6"/>
        <v>73</v>
      </c>
      <c r="F95" s="11">
        <f t="shared" si="5"/>
        <v>1</v>
      </c>
      <c r="G95" s="11">
        <f t="shared" si="4"/>
        <v>216000000</v>
      </c>
    </row>
    <row r="96" spans="1:7" x14ac:dyDescent="0.25">
      <c r="A96" s="11" t="s">
        <v>881</v>
      </c>
      <c r="B96" s="38">
        <v>3000000</v>
      </c>
      <c r="C96" s="11" t="s">
        <v>882</v>
      </c>
      <c r="D96" s="11">
        <v>1</v>
      </c>
      <c r="E96" s="11">
        <f t="shared" si="6"/>
        <v>72</v>
      </c>
      <c r="F96" s="11">
        <f t="shared" si="5"/>
        <v>1</v>
      </c>
      <c r="G96" s="11">
        <f t="shared" si="4"/>
        <v>213000000</v>
      </c>
    </row>
    <row r="97" spans="1:7" x14ac:dyDescent="0.25">
      <c r="A97" s="11" t="s">
        <v>883</v>
      </c>
      <c r="B97" s="38">
        <v>3000000</v>
      </c>
      <c r="C97" s="11" t="s">
        <v>884</v>
      </c>
      <c r="D97" s="11">
        <v>1</v>
      </c>
      <c r="E97" s="11">
        <f t="shared" si="6"/>
        <v>71</v>
      </c>
      <c r="F97" s="11">
        <f t="shared" si="5"/>
        <v>1</v>
      </c>
      <c r="G97" s="11">
        <f t="shared" si="4"/>
        <v>210000000</v>
      </c>
    </row>
    <row r="98" spans="1:7" x14ac:dyDescent="0.25">
      <c r="A98" s="11" t="s">
        <v>885</v>
      </c>
      <c r="B98" s="38">
        <v>3000000</v>
      </c>
      <c r="C98" s="11" t="s">
        <v>886</v>
      </c>
      <c r="D98" s="11">
        <v>1</v>
      </c>
      <c r="E98" s="11">
        <f t="shared" si="6"/>
        <v>70</v>
      </c>
      <c r="F98" s="11">
        <f t="shared" si="5"/>
        <v>1</v>
      </c>
      <c r="G98" s="11">
        <f t="shared" si="4"/>
        <v>207000000</v>
      </c>
    </row>
    <row r="99" spans="1:7" x14ac:dyDescent="0.25">
      <c r="A99" s="11" t="s">
        <v>887</v>
      </c>
      <c r="B99" s="38">
        <v>3000000</v>
      </c>
      <c r="C99" s="11" t="s">
        <v>888</v>
      </c>
      <c r="D99" s="11">
        <v>2</v>
      </c>
      <c r="E99" s="11">
        <f t="shared" si="6"/>
        <v>69</v>
      </c>
      <c r="F99" s="11">
        <f t="shared" si="5"/>
        <v>1</v>
      </c>
      <c r="G99" s="11">
        <f t="shared" si="4"/>
        <v>204000000</v>
      </c>
    </row>
    <row r="100" spans="1:7" x14ac:dyDescent="0.25">
      <c r="A100" s="11" t="s">
        <v>889</v>
      </c>
      <c r="B100" s="38">
        <v>999500</v>
      </c>
      <c r="C100" s="11" t="s">
        <v>903</v>
      </c>
      <c r="D100" s="11">
        <v>1</v>
      </c>
      <c r="E100" s="11">
        <f t="shared" si="6"/>
        <v>67</v>
      </c>
      <c r="F100" s="11">
        <f t="shared" si="5"/>
        <v>1</v>
      </c>
      <c r="G100" s="11">
        <f t="shared" si="4"/>
        <v>65967000</v>
      </c>
    </row>
    <row r="101" spans="1:7" ht="30" x14ac:dyDescent="0.25">
      <c r="A101" s="11" t="s">
        <v>902</v>
      </c>
      <c r="B101" s="38">
        <v>-1986700</v>
      </c>
      <c r="C101" s="73" t="s">
        <v>904</v>
      </c>
      <c r="D101" s="11">
        <v>21</v>
      </c>
      <c r="E101" s="11">
        <f t="shared" si="6"/>
        <v>66</v>
      </c>
      <c r="F101" s="11">
        <f t="shared" si="5"/>
        <v>0</v>
      </c>
      <c r="G101" s="11">
        <f t="shared" si="4"/>
        <v>-131122200</v>
      </c>
    </row>
    <row r="102" spans="1:7" ht="30" x14ac:dyDescent="0.25">
      <c r="A102" s="11" t="s">
        <v>906</v>
      </c>
      <c r="B102" s="38">
        <v>3000000</v>
      </c>
      <c r="C102" s="73" t="s">
        <v>907</v>
      </c>
      <c r="D102" s="11">
        <v>0</v>
      </c>
      <c r="E102" s="11">
        <f t="shared" si="6"/>
        <v>45</v>
      </c>
      <c r="F102" s="11">
        <f t="shared" si="5"/>
        <v>1</v>
      </c>
      <c r="G102" s="11">
        <f t="shared" si="4"/>
        <v>132000000</v>
      </c>
    </row>
    <row r="103" spans="1:7" x14ac:dyDescent="0.25">
      <c r="A103" s="11" t="s">
        <v>1046</v>
      </c>
      <c r="B103" s="38">
        <v>295500</v>
      </c>
      <c r="C103" s="73" t="s">
        <v>1047</v>
      </c>
      <c r="D103" s="11">
        <v>15</v>
      </c>
      <c r="E103" s="11">
        <f t="shared" si="6"/>
        <v>45</v>
      </c>
      <c r="F103" s="11">
        <f t="shared" si="5"/>
        <v>1</v>
      </c>
      <c r="G103" s="11">
        <f t="shared" si="4"/>
        <v>13002000</v>
      </c>
    </row>
    <row r="104" spans="1:7" x14ac:dyDescent="0.25">
      <c r="A104" s="11" t="s">
        <v>931</v>
      </c>
      <c r="B104" s="38">
        <v>-10000</v>
      </c>
      <c r="C104" s="73" t="s">
        <v>937</v>
      </c>
      <c r="D104" s="11">
        <v>6</v>
      </c>
      <c r="E104" s="11">
        <f t="shared" si="6"/>
        <v>30</v>
      </c>
      <c r="F104" s="11">
        <f t="shared" si="5"/>
        <v>0</v>
      </c>
      <c r="G104" s="11">
        <f t="shared" si="4"/>
        <v>-300000</v>
      </c>
    </row>
    <row r="105" spans="1:7" x14ac:dyDescent="0.25">
      <c r="A105" s="11" t="s">
        <v>939</v>
      </c>
      <c r="B105" s="38">
        <v>1999000</v>
      </c>
      <c r="C105" s="73" t="s">
        <v>940</v>
      </c>
      <c r="D105" s="11">
        <v>5</v>
      </c>
      <c r="E105" s="11">
        <f t="shared" si="6"/>
        <v>24</v>
      </c>
      <c r="F105" s="11">
        <f t="shared" si="5"/>
        <v>1</v>
      </c>
      <c r="G105" s="11">
        <f t="shared" si="4"/>
        <v>45977000</v>
      </c>
    </row>
    <row r="106" spans="1:7" x14ac:dyDescent="0.25">
      <c r="A106" s="11" t="s">
        <v>958</v>
      </c>
      <c r="B106" s="38">
        <v>-60000000</v>
      </c>
      <c r="C106" s="73" t="s">
        <v>1042</v>
      </c>
      <c r="D106" s="11">
        <v>0</v>
      </c>
      <c r="E106" s="11">
        <f t="shared" si="6"/>
        <v>19</v>
      </c>
      <c r="F106" s="11">
        <f t="shared" si="5"/>
        <v>0</v>
      </c>
      <c r="G106" s="11">
        <f t="shared" si="4"/>
        <v>-1140000000</v>
      </c>
    </row>
    <row r="107" spans="1:7" x14ac:dyDescent="0.25">
      <c r="A107" s="11" t="s">
        <v>958</v>
      </c>
      <c r="B107" s="38">
        <v>5850000</v>
      </c>
      <c r="C107" s="73" t="s">
        <v>1044</v>
      </c>
      <c r="D107" s="11">
        <v>1</v>
      </c>
      <c r="E107" s="11">
        <f t="shared" si="6"/>
        <v>19</v>
      </c>
      <c r="F107" s="11">
        <f t="shared" si="5"/>
        <v>1</v>
      </c>
      <c r="G107" s="11">
        <f t="shared" si="4"/>
        <v>105300000</v>
      </c>
    </row>
    <row r="108" spans="1:7" x14ac:dyDescent="0.25">
      <c r="A108" s="11" t="s">
        <v>1051</v>
      </c>
      <c r="B108" s="38">
        <v>3000000</v>
      </c>
      <c r="C108" s="73" t="s">
        <v>1061</v>
      </c>
      <c r="D108" s="11">
        <v>1</v>
      </c>
      <c r="E108" s="11">
        <f t="shared" si="6"/>
        <v>18</v>
      </c>
      <c r="F108" s="11">
        <f t="shared" si="5"/>
        <v>1</v>
      </c>
      <c r="G108" s="11">
        <f t="shared" si="4"/>
        <v>51000000</v>
      </c>
    </row>
    <row r="109" spans="1:7" x14ac:dyDescent="0.25">
      <c r="A109" s="11" t="s">
        <v>1062</v>
      </c>
      <c r="B109" s="38">
        <v>2000000</v>
      </c>
      <c r="C109" s="73" t="s">
        <v>1061</v>
      </c>
      <c r="D109" s="11">
        <v>0</v>
      </c>
      <c r="E109" s="11">
        <f t="shared" si="6"/>
        <v>17</v>
      </c>
      <c r="F109" s="11">
        <f t="shared" si="5"/>
        <v>1</v>
      </c>
      <c r="G109" s="11">
        <f t="shared" si="4"/>
        <v>32000000</v>
      </c>
    </row>
    <row r="110" spans="1:7" x14ac:dyDescent="0.25">
      <c r="A110" s="11" t="s">
        <v>1062</v>
      </c>
      <c r="B110" s="38">
        <v>-5000000</v>
      </c>
      <c r="C110" s="73" t="s">
        <v>1042</v>
      </c>
      <c r="D110" s="11">
        <v>1</v>
      </c>
      <c r="E110" s="11">
        <f t="shared" si="6"/>
        <v>17</v>
      </c>
      <c r="F110" s="11">
        <f t="shared" si="5"/>
        <v>0</v>
      </c>
      <c r="G110" s="11">
        <f t="shared" si="4"/>
        <v>-85000000</v>
      </c>
    </row>
    <row r="111" spans="1:7" x14ac:dyDescent="0.25">
      <c r="A111" s="11" t="s">
        <v>1068</v>
      </c>
      <c r="B111" s="38">
        <v>412668</v>
      </c>
      <c r="C111" s="73" t="s">
        <v>1069</v>
      </c>
      <c r="D111" s="11">
        <v>8</v>
      </c>
      <c r="E111" s="11">
        <f t="shared" si="6"/>
        <v>16</v>
      </c>
      <c r="F111" s="11">
        <f t="shared" si="5"/>
        <v>1</v>
      </c>
      <c r="G111" s="11">
        <f t="shared" si="4"/>
        <v>6190020</v>
      </c>
    </row>
    <row r="112" spans="1:7" x14ac:dyDescent="0.25">
      <c r="A112" s="11" t="s">
        <v>1108</v>
      </c>
      <c r="B112" s="38">
        <v>42000000</v>
      </c>
      <c r="C112" s="73" t="s">
        <v>1109</v>
      </c>
      <c r="D112" s="11">
        <v>7</v>
      </c>
      <c r="E112" s="11">
        <f t="shared" si="6"/>
        <v>8</v>
      </c>
      <c r="F112" s="11">
        <f t="shared" si="5"/>
        <v>1</v>
      </c>
      <c r="G112" s="11">
        <f t="shared" si="4"/>
        <v>294000000</v>
      </c>
    </row>
    <row r="113" spans="1:7" x14ac:dyDescent="0.25">
      <c r="A113" s="11" t="s">
        <v>1127</v>
      </c>
      <c r="B113" s="38">
        <v>-25000000</v>
      </c>
      <c r="C113" s="73" t="s">
        <v>1132</v>
      </c>
      <c r="D113" s="11">
        <v>1</v>
      </c>
      <c r="E113" s="11">
        <f t="shared" si="6"/>
        <v>1</v>
      </c>
      <c r="F113" s="11">
        <f t="shared" si="5"/>
        <v>0</v>
      </c>
      <c r="G113" s="11">
        <f t="shared" si="4"/>
        <v>-25000000</v>
      </c>
    </row>
    <row r="114" spans="1:7" x14ac:dyDescent="0.25">
      <c r="A114" s="11" t="s">
        <v>1129</v>
      </c>
      <c r="B114" s="38">
        <v>-200000</v>
      </c>
      <c r="C114" s="73" t="s">
        <v>1154</v>
      </c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24527461</v>
      </c>
      <c r="C127" s="11"/>
      <c r="D127" s="11"/>
      <c r="E127" s="11"/>
      <c r="F127" s="11"/>
      <c r="G127" s="29">
        <f>SUM(G2:G126)</f>
        <v>21398537474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43581542.716904275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872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936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936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936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936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936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936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936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936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936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814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920</v>
      </c>
      <c r="B13" s="3">
        <v>436</v>
      </c>
      <c r="C13" s="11" t="s">
        <v>829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832</v>
      </c>
      <c r="B14" s="3">
        <v>1000000</v>
      </c>
      <c r="C14" s="11" t="s">
        <v>835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837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837</v>
      </c>
      <c r="B16" s="3">
        <v>-70600</v>
      </c>
      <c r="C16" s="11" t="s">
        <v>838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837</v>
      </c>
      <c r="B17" s="3">
        <v>-450030</v>
      </c>
      <c r="C17" s="11" t="s">
        <v>839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840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843</v>
      </c>
      <c r="B19" s="3">
        <v>-26000</v>
      </c>
      <c r="C19" s="11" t="s">
        <v>844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848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850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853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856</v>
      </c>
      <c r="B23" s="3">
        <v>-95500</v>
      </c>
      <c r="C23" s="11" t="s">
        <v>857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858</v>
      </c>
      <c r="B24" s="3">
        <v>2000000</v>
      </c>
      <c r="C24" s="11" t="s">
        <v>859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858</v>
      </c>
      <c r="B25" s="3">
        <v>-131450</v>
      </c>
      <c r="C25" s="11" t="s">
        <v>861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863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864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865</v>
      </c>
      <c r="B28" s="3">
        <v>-180500</v>
      </c>
      <c r="C28" s="11" t="s">
        <v>866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868</v>
      </c>
      <c r="B29" s="35">
        <v>7117</v>
      </c>
      <c r="C29" s="11" t="s">
        <v>875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883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889</v>
      </c>
      <c r="B31" s="3">
        <v>-47053</v>
      </c>
      <c r="C31" s="11" t="s">
        <v>890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891</v>
      </c>
      <c r="B32" s="3">
        <v>-33870</v>
      </c>
      <c r="C32" s="11" t="s">
        <v>892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893</v>
      </c>
      <c r="B33" s="3">
        <v>-22000</v>
      </c>
      <c r="C33" s="11" t="s">
        <v>894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893</v>
      </c>
      <c r="B34" s="3">
        <v>-250000</v>
      </c>
      <c r="C34" s="11" t="s">
        <v>895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893</v>
      </c>
      <c r="B35" s="3">
        <v>-650500</v>
      </c>
      <c r="C35" s="11" t="s">
        <v>896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897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898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921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922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923</v>
      </c>
      <c r="B40" s="3">
        <v>-30000</v>
      </c>
      <c r="C40" s="11" t="s">
        <v>924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906</v>
      </c>
      <c r="B41" s="3">
        <v>7481</v>
      </c>
      <c r="C41" s="11" t="s">
        <v>925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909</v>
      </c>
      <c r="B42" s="3">
        <v>1000000</v>
      </c>
      <c r="C42" s="11" t="s">
        <v>910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926</v>
      </c>
      <c r="B43" s="3">
        <v>-39330</v>
      </c>
      <c r="C43" s="11" t="s">
        <v>912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927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911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913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928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929</v>
      </c>
      <c r="B48" s="3">
        <v>-83000</v>
      </c>
      <c r="C48" s="11" t="s">
        <v>930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931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932</v>
      </c>
      <c r="B50" s="3">
        <v>-180000</v>
      </c>
      <c r="C50" s="11" t="s">
        <v>933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934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935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945</v>
      </c>
      <c r="B53" s="3">
        <v>-22000</v>
      </c>
      <c r="C53" s="11" t="s">
        <v>946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939</v>
      </c>
      <c r="B54" s="3">
        <v>999000</v>
      </c>
      <c r="C54" s="11" t="s">
        <v>943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939</v>
      </c>
      <c r="B55" s="3">
        <v>106900</v>
      </c>
      <c r="C55" s="11" t="s">
        <v>944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939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950</v>
      </c>
      <c r="B57" s="3">
        <v>-18400</v>
      </c>
      <c r="C57" s="11" t="s">
        <v>890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959</v>
      </c>
      <c r="B58" s="3">
        <v>-457777</v>
      </c>
      <c r="C58" s="11" t="s">
        <v>952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1072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1051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1068</v>
      </c>
      <c r="B61" s="3">
        <v>4172</v>
      </c>
      <c r="C61" s="11" t="s">
        <v>1070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1074</v>
      </c>
      <c r="B62" s="3">
        <v>-161000</v>
      </c>
      <c r="C62" s="11" t="s">
        <v>1082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1087</v>
      </c>
      <c r="B63" s="3">
        <v>-149505</v>
      </c>
      <c r="C63" s="11" t="s">
        <v>1088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1100</v>
      </c>
      <c r="B64" s="3">
        <v>-4940</v>
      </c>
      <c r="C64" s="11" t="s">
        <v>1104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G197" sqref="G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673</v>
      </c>
      <c r="E2" s="11">
        <f>IF(B2&gt;0,1,0)</f>
        <v>1</v>
      </c>
      <c r="F2" s="11">
        <f>B2*(D2-E2)</f>
        <v>64982400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671</v>
      </c>
      <c r="E3" s="11">
        <f t="shared" ref="E3:E66" si="1">IF(B3&gt;0,1,0)</f>
        <v>1</v>
      </c>
      <c r="F3" s="11">
        <f t="shared" ref="F3:F66" si="2">B3*(D3-E3)</f>
        <v>2010000000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668</v>
      </c>
      <c r="E4" s="11">
        <f t="shared" si="1"/>
        <v>0</v>
      </c>
      <c r="F4" s="11">
        <f t="shared" si="2"/>
        <v>-133600000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666</v>
      </c>
      <c r="E5" s="11">
        <f t="shared" si="1"/>
        <v>0</v>
      </c>
      <c r="F5" s="11">
        <f t="shared" si="2"/>
        <v>-66600000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665</v>
      </c>
      <c r="E6" s="11">
        <f t="shared" si="1"/>
        <v>0</v>
      </c>
      <c r="F6" s="11">
        <f t="shared" si="2"/>
        <v>-36575000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664</v>
      </c>
      <c r="E7" s="11">
        <f t="shared" si="1"/>
        <v>0</v>
      </c>
      <c r="F7" s="11">
        <f t="shared" si="2"/>
        <v>-132800000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660</v>
      </c>
      <c r="E8" s="11">
        <f t="shared" si="1"/>
        <v>0</v>
      </c>
      <c r="F8" s="11">
        <f t="shared" si="2"/>
        <v>-132000000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650</v>
      </c>
      <c r="E9" s="11">
        <f t="shared" si="1"/>
        <v>0</v>
      </c>
      <c r="F9" s="11">
        <f t="shared" si="2"/>
        <v>-617825000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649</v>
      </c>
      <c r="E10" s="11">
        <f t="shared" si="1"/>
        <v>1</v>
      </c>
      <c r="F10" s="11">
        <f t="shared" si="2"/>
        <v>1296000000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647</v>
      </c>
      <c r="E11" s="11">
        <f t="shared" si="1"/>
        <v>0</v>
      </c>
      <c r="F11" s="11">
        <f t="shared" si="2"/>
        <v>-689055000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644</v>
      </c>
      <c r="E12" s="11">
        <f t="shared" si="1"/>
        <v>0</v>
      </c>
      <c r="F12" s="11">
        <f t="shared" si="2"/>
        <v>-28980000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643</v>
      </c>
      <c r="E13" s="11">
        <f t="shared" si="1"/>
        <v>0</v>
      </c>
      <c r="F13" s="11">
        <f t="shared" si="2"/>
        <v>-1286450100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639</v>
      </c>
      <c r="E14" s="11">
        <f t="shared" si="1"/>
        <v>0</v>
      </c>
      <c r="F14" s="11">
        <f t="shared" si="2"/>
        <v>-127800000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637</v>
      </c>
      <c r="E15" s="11">
        <f t="shared" si="1"/>
        <v>1</v>
      </c>
      <c r="F15" s="11">
        <f t="shared" si="2"/>
        <v>1272000000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637</v>
      </c>
      <c r="E16" s="11">
        <f t="shared" si="1"/>
        <v>1</v>
      </c>
      <c r="F16" s="11">
        <f t="shared" si="2"/>
        <v>1272000000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637</v>
      </c>
      <c r="E17" s="11">
        <f t="shared" si="1"/>
        <v>1</v>
      </c>
      <c r="F17" s="11">
        <f t="shared" si="2"/>
        <v>763200000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637</v>
      </c>
      <c r="E18" s="11">
        <f t="shared" si="1"/>
        <v>1</v>
      </c>
      <c r="F18" s="11">
        <f t="shared" si="2"/>
        <v>636000000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636</v>
      </c>
      <c r="E19" s="11">
        <f t="shared" si="1"/>
        <v>1</v>
      </c>
      <c r="F19" s="11">
        <f t="shared" si="2"/>
        <v>1905000000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636</v>
      </c>
      <c r="E20" s="11">
        <f t="shared" si="1"/>
        <v>0</v>
      </c>
      <c r="F20" s="11">
        <f t="shared" si="2"/>
        <v>-275197200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636</v>
      </c>
      <c r="E21" s="11">
        <f t="shared" si="1"/>
        <v>0</v>
      </c>
      <c r="F21" s="11">
        <f t="shared" si="2"/>
        <v>-275197200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636</v>
      </c>
      <c r="E22" s="11">
        <f t="shared" si="1"/>
        <v>0</v>
      </c>
      <c r="F22" s="11">
        <f t="shared" si="2"/>
        <v>-275197200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636</v>
      </c>
      <c r="E23" s="11">
        <f t="shared" si="1"/>
        <v>0</v>
      </c>
      <c r="F23" s="11">
        <f t="shared" si="2"/>
        <v>-275197200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636</v>
      </c>
      <c r="E24" s="11">
        <f t="shared" si="1"/>
        <v>0</v>
      </c>
      <c r="F24" s="11">
        <f t="shared" si="2"/>
        <v>-275197200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636</v>
      </c>
      <c r="E25" s="11">
        <f t="shared" si="1"/>
        <v>0</v>
      </c>
      <c r="F25" s="11">
        <f t="shared" si="2"/>
        <v>-127200000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635</v>
      </c>
      <c r="E26" s="11">
        <f t="shared" si="1"/>
        <v>1</v>
      </c>
      <c r="F26" s="11">
        <f t="shared" si="2"/>
        <v>1902000000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633</v>
      </c>
      <c r="E27" s="11">
        <f t="shared" si="1"/>
        <v>0</v>
      </c>
      <c r="F27" s="11">
        <f t="shared" si="2"/>
        <v>-126600000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632</v>
      </c>
      <c r="E28" s="11">
        <f t="shared" si="1"/>
        <v>1</v>
      </c>
      <c r="F28" s="11">
        <f t="shared" si="2"/>
        <v>1262000000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631</v>
      </c>
      <c r="E29" s="11">
        <f t="shared" si="1"/>
        <v>0</v>
      </c>
      <c r="F29" s="11">
        <f t="shared" si="2"/>
        <v>-4417504800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630</v>
      </c>
      <c r="E30" s="11">
        <f t="shared" si="1"/>
        <v>0</v>
      </c>
      <c r="F30" s="11">
        <f t="shared" si="2"/>
        <v>-1890567000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629</v>
      </c>
      <c r="E31" s="11">
        <f t="shared" si="1"/>
        <v>0</v>
      </c>
      <c r="F31" s="11">
        <f t="shared" si="2"/>
        <v>-1066721100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626</v>
      </c>
      <c r="E32" s="11">
        <f t="shared" si="1"/>
        <v>1</v>
      </c>
      <c r="F32" s="11">
        <f t="shared" si="2"/>
        <v>621437500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620</v>
      </c>
      <c r="E33" s="11">
        <f t="shared" si="1"/>
        <v>1</v>
      </c>
      <c r="F33" s="11">
        <f t="shared" si="2"/>
        <v>21721329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619</v>
      </c>
      <c r="E34" s="11">
        <f t="shared" si="1"/>
        <v>0</v>
      </c>
      <c r="F34" s="11">
        <f t="shared" si="2"/>
        <v>-526150000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611</v>
      </c>
      <c r="E35" s="11">
        <f t="shared" si="1"/>
        <v>0</v>
      </c>
      <c r="F35" s="11">
        <f t="shared" si="2"/>
        <v>-116395500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610</v>
      </c>
      <c r="E36" s="11">
        <f t="shared" si="1"/>
        <v>1</v>
      </c>
      <c r="F36" s="11">
        <f t="shared" si="2"/>
        <v>121800000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610</v>
      </c>
      <c r="E37" s="11">
        <f t="shared" si="1"/>
        <v>0</v>
      </c>
      <c r="F37" s="11">
        <f t="shared" si="2"/>
        <v>-122000000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588</v>
      </c>
      <c r="E38" s="11">
        <f t="shared" si="1"/>
        <v>1</v>
      </c>
      <c r="F38" s="11">
        <f t="shared" si="2"/>
        <v>176573122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587</v>
      </c>
      <c r="E39" s="11">
        <f t="shared" si="1"/>
        <v>0</v>
      </c>
      <c r="F39" s="11">
        <f t="shared" si="2"/>
        <v>-55765000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587</v>
      </c>
      <c r="E40" s="11">
        <f t="shared" si="1"/>
        <v>0</v>
      </c>
      <c r="F40" s="11">
        <f t="shared" si="2"/>
        <v>-51716461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582</v>
      </c>
      <c r="E41" s="11">
        <f t="shared" si="1"/>
        <v>0</v>
      </c>
      <c r="F41" s="11">
        <f t="shared" si="2"/>
        <v>-69840000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560</v>
      </c>
      <c r="E42" s="11">
        <f t="shared" si="1"/>
        <v>1</v>
      </c>
      <c r="F42" s="11">
        <f t="shared" si="2"/>
        <v>559114036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556</v>
      </c>
      <c r="E43" s="11">
        <f t="shared" si="1"/>
        <v>0</v>
      </c>
      <c r="F43" s="11">
        <f t="shared" si="2"/>
        <v>-44480000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552</v>
      </c>
      <c r="E44" s="11">
        <f t="shared" si="1"/>
        <v>0</v>
      </c>
      <c r="F44" s="11">
        <f t="shared" si="2"/>
        <v>-116488008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551</v>
      </c>
      <c r="E45" s="11">
        <f t="shared" si="1"/>
        <v>0</v>
      </c>
      <c r="F45" s="11">
        <f t="shared" si="2"/>
        <v>-110200000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550</v>
      </c>
      <c r="E46" s="11">
        <f t="shared" si="1"/>
        <v>0</v>
      </c>
      <c r="F46" s="11">
        <f t="shared" si="2"/>
        <v>-52250000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548</v>
      </c>
      <c r="E47" s="11">
        <f t="shared" si="1"/>
        <v>0</v>
      </c>
      <c r="F47" s="11">
        <f t="shared" si="2"/>
        <v>-24660000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548</v>
      </c>
      <c r="E48" s="11">
        <f t="shared" si="1"/>
        <v>0</v>
      </c>
      <c r="F48" s="11">
        <f t="shared" si="2"/>
        <v>-35170640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545</v>
      </c>
      <c r="E49" s="11">
        <f t="shared" si="1"/>
        <v>0</v>
      </c>
      <c r="F49" s="11">
        <f t="shared" si="2"/>
        <v>-14978780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544</v>
      </c>
      <c r="E50" s="11">
        <f t="shared" si="1"/>
        <v>0</v>
      </c>
      <c r="F50" s="11">
        <f t="shared" si="2"/>
        <v>-76704000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544</v>
      </c>
      <c r="E51" s="11">
        <f t="shared" si="1"/>
        <v>0</v>
      </c>
      <c r="F51" s="11">
        <f t="shared" si="2"/>
        <v>-14549824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543</v>
      </c>
      <c r="E52" s="11">
        <f t="shared" si="1"/>
        <v>0</v>
      </c>
      <c r="F52" s="11">
        <f t="shared" si="2"/>
        <v>-28941900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542</v>
      </c>
      <c r="E53" s="11">
        <f t="shared" si="1"/>
        <v>1</v>
      </c>
      <c r="F53" s="11">
        <f t="shared" si="2"/>
        <v>541000000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536</v>
      </c>
      <c r="E54" s="11">
        <f t="shared" si="1"/>
        <v>0</v>
      </c>
      <c r="F54" s="11">
        <f t="shared" si="2"/>
        <v>-11256000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535</v>
      </c>
      <c r="E55" s="11">
        <f t="shared" si="1"/>
        <v>0</v>
      </c>
      <c r="F55" s="11">
        <f t="shared" si="2"/>
        <v>-524567500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535</v>
      </c>
      <c r="E56" s="11">
        <f t="shared" si="1"/>
        <v>0</v>
      </c>
      <c r="F56" s="11">
        <f t="shared" si="2"/>
        <v>-24075000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522</v>
      </c>
      <c r="E57" s="11">
        <f t="shared" si="1"/>
        <v>1</v>
      </c>
      <c r="F57" s="11">
        <f t="shared" si="2"/>
        <v>1565703469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522</v>
      </c>
      <c r="E58" s="11">
        <f t="shared" si="1"/>
        <v>1</v>
      </c>
      <c r="F58" s="11">
        <f t="shared" si="2"/>
        <v>1042000000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521</v>
      </c>
      <c r="E59" s="11">
        <f t="shared" si="1"/>
        <v>1</v>
      </c>
      <c r="F59" s="11">
        <f t="shared" si="2"/>
        <v>1040000000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521</v>
      </c>
      <c r="E60" s="11">
        <f t="shared" si="1"/>
        <v>0</v>
      </c>
      <c r="F60" s="11">
        <f t="shared" si="2"/>
        <v>-3647781500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497</v>
      </c>
      <c r="E61" s="11">
        <f t="shared" si="1"/>
        <v>1</v>
      </c>
      <c r="F61" s="11">
        <f t="shared" si="2"/>
        <v>1488000000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496</v>
      </c>
      <c r="E62" s="11">
        <f t="shared" si="1"/>
        <v>0</v>
      </c>
      <c r="F62" s="11">
        <f t="shared" si="2"/>
        <v>-13446064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496</v>
      </c>
      <c r="E63" s="11">
        <f t="shared" si="1"/>
        <v>0</v>
      </c>
      <c r="F63" s="11">
        <f t="shared" si="2"/>
        <v>-16362544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496</v>
      </c>
      <c r="E64" s="11">
        <f t="shared" si="1"/>
        <v>1</v>
      </c>
      <c r="F64" s="11">
        <f t="shared" si="2"/>
        <v>1485000000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496</v>
      </c>
      <c r="E65" s="11">
        <f t="shared" si="1"/>
        <v>1</v>
      </c>
      <c r="F65" s="11">
        <f t="shared" si="2"/>
        <v>1470150000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496</v>
      </c>
      <c r="E66" s="11">
        <f t="shared" si="1"/>
        <v>1</v>
      </c>
      <c r="F66" s="11">
        <f t="shared" si="2"/>
        <v>495000000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496</v>
      </c>
      <c r="E67" s="11">
        <f t="shared" ref="E67:E130" si="4">IF(B67&gt;0,1,0)</f>
        <v>1</v>
      </c>
      <c r="F67" s="11">
        <f t="shared" ref="F67:F200" si="5">B67*(D67-E67)</f>
        <v>14850000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495</v>
      </c>
      <c r="E68" s="11">
        <f t="shared" si="4"/>
        <v>1</v>
      </c>
      <c r="F68" s="11">
        <f t="shared" si="5"/>
        <v>14820000000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494</v>
      </c>
      <c r="E69" s="11">
        <f t="shared" si="4"/>
        <v>0</v>
      </c>
      <c r="F69" s="11">
        <f t="shared" si="5"/>
        <v>-98800000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494</v>
      </c>
      <c r="E70" s="11">
        <f t="shared" si="4"/>
        <v>1</v>
      </c>
      <c r="F70" s="11">
        <f t="shared" si="5"/>
        <v>690200000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494</v>
      </c>
      <c r="E71" s="11">
        <f t="shared" si="4"/>
        <v>1</v>
      </c>
      <c r="F71" s="11">
        <f t="shared" si="5"/>
        <v>1281800000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494</v>
      </c>
      <c r="E72" s="11">
        <f t="shared" si="4"/>
        <v>0</v>
      </c>
      <c r="F72" s="11">
        <f t="shared" si="5"/>
        <v>-494000000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492</v>
      </c>
      <c r="E73" s="11">
        <f t="shared" si="4"/>
        <v>1</v>
      </c>
      <c r="F73" s="11">
        <f t="shared" si="5"/>
        <v>7365000000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487</v>
      </c>
      <c r="E74" s="11">
        <f t="shared" si="4"/>
        <v>0</v>
      </c>
      <c r="F74" s="11">
        <f t="shared" si="5"/>
        <v>-7307045400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485</v>
      </c>
      <c r="E75" s="11">
        <f t="shared" si="4"/>
        <v>0</v>
      </c>
      <c r="F75" s="11">
        <f t="shared" si="5"/>
        <v>-1455000000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485</v>
      </c>
      <c r="E76" s="11">
        <f t="shared" si="4"/>
        <v>0</v>
      </c>
      <c r="F76" s="11">
        <f t="shared" si="5"/>
        <v>-97000000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485</v>
      </c>
      <c r="E77" s="11">
        <f t="shared" si="4"/>
        <v>0</v>
      </c>
      <c r="F77" s="11">
        <f t="shared" si="5"/>
        <v>-5821455000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481</v>
      </c>
      <c r="E78" s="11">
        <f t="shared" si="4"/>
        <v>0</v>
      </c>
      <c r="F78" s="11">
        <f t="shared" si="5"/>
        <v>-1443432900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476</v>
      </c>
      <c r="E79" s="11">
        <f t="shared" si="4"/>
        <v>1</v>
      </c>
      <c r="F79" s="11">
        <f t="shared" si="5"/>
        <v>10925000000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471</v>
      </c>
      <c r="E80" s="11">
        <f t="shared" si="4"/>
        <v>0</v>
      </c>
      <c r="F80" s="11">
        <f t="shared" si="5"/>
        <v>-282835500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471</v>
      </c>
      <c r="E81" s="11">
        <f t="shared" si="4"/>
        <v>0</v>
      </c>
      <c r="F81" s="11">
        <f t="shared" si="5"/>
        <v>-94200000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470</v>
      </c>
      <c r="E82" s="11">
        <f t="shared" si="4"/>
        <v>1</v>
      </c>
      <c r="F82" s="11">
        <f t="shared" si="5"/>
        <v>132830649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470</v>
      </c>
      <c r="E83" s="11">
        <f t="shared" si="4"/>
        <v>0</v>
      </c>
      <c r="F83" s="11">
        <f t="shared" si="5"/>
        <v>-94000000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468</v>
      </c>
      <c r="E84" s="11">
        <f t="shared" si="4"/>
        <v>1</v>
      </c>
      <c r="F84" s="11">
        <f t="shared" si="5"/>
        <v>934000000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465</v>
      </c>
      <c r="E85" s="11">
        <f t="shared" si="4"/>
        <v>0</v>
      </c>
      <c r="F85" s="11">
        <f t="shared" si="5"/>
        <v>-93000000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459</v>
      </c>
      <c r="E86" s="11">
        <f t="shared" si="4"/>
        <v>0</v>
      </c>
      <c r="F86" s="11">
        <f t="shared" si="5"/>
        <v>-91800000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457</v>
      </c>
      <c r="E87" s="11">
        <f t="shared" si="4"/>
        <v>0</v>
      </c>
      <c r="F87" s="11">
        <f t="shared" si="5"/>
        <v>-605525000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442</v>
      </c>
      <c r="E88" s="11">
        <f t="shared" si="4"/>
        <v>0</v>
      </c>
      <c r="F88" s="11">
        <f t="shared" si="5"/>
        <v>-221000000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442</v>
      </c>
      <c r="E89" s="11">
        <f t="shared" si="4"/>
        <v>0</v>
      </c>
      <c r="F89" s="11">
        <f t="shared" si="5"/>
        <v>-53040000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440</v>
      </c>
      <c r="E90" s="11">
        <f t="shared" si="4"/>
        <v>1</v>
      </c>
      <c r="F90" s="11">
        <f t="shared" si="5"/>
        <v>187981995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437</v>
      </c>
      <c r="E91" s="11">
        <f t="shared" si="4"/>
        <v>0</v>
      </c>
      <c r="F91" s="11">
        <f t="shared" si="5"/>
        <v>-1311874000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435</v>
      </c>
      <c r="E92" s="11">
        <f t="shared" si="4"/>
        <v>0</v>
      </c>
      <c r="F92" s="11">
        <f t="shared" si="5"/>
        <v>-89175000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435</v>
      </c>
      <c r="E93" s="11">
        <f t="shared" si="4"/>
        <v>0</v>
      </c>
      <c r="F93" s="11">
        <f t="shared" si="5"/>
        <v>-152467500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424</v>
      </c>
      <c r="E94" s="11">
        <f t="shared" si="4"/>
        <v>1</v>
      </c>
      <c r="F94" s="11">
        <f t="shared" si="5"/>
        <v>423000000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419</v>
      </c>
      <c r="E95" s="11">
        <f t="shared" si="4"/>
        <v>1</v>
      </c>
      <c r="F95" s="11">
        <f t="shared" si="5"/>
        <v>3762000000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417</v>
      </c>
      <c r="E96" s="11">
        <f t="shared" si="4"/>
        <v>0</v>
      </c>
      <c r="F96" s="11">
        <f t="shared" si="5"/>
        <v>-10842000000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417</v>
      </c>
      <c r="E97" s="11">
        <f t="shared" si="4"/>
        <v>0</v>
      </c>
      <c r="F97" s="11">
        <f t="shared" si="5"/>
        <v>-10842000000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417</v>
      </c>
      <c r="E98" s="11">
        <f t="shared" si="4"/>
        <v>1</v>
      </c>
      <c r="F98" s="11">
        <f t="shared" si="5"/>
        <v>10816000000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417</v>
      </c>
      <c r="E99" s="11">
        <f t="shared" si="4"/>
        <v>0</v>
      </c>
      <c r="F99" s="11">
        <f t="shared" si="5"/>
        <v>-83400000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415</v>
      </c>
      <c r="E100" s="11">
        <f t="shared" si="4"/>
        <v>1</v>
      </c>
      <c r="F100" s="11">
        <f t="shared" si="5"/>
        <v>12088800000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410</v>
      </c>
      <c r="E101" s="11">
        <f t="shared" si="4"/>
        <v>1</v>
      </c>
      <c r="F101" s="11">
        <f t="shared" si="5"/>
        <v>163577505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409</v>
      </c>
      <c r="E102" s="11">
        <f t="shared" si="4"/>
        <v>1</v>
      </c>
      <c r="F102" s="11">
        <f t="shared" si="5"/>
        <v>816000000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408</v>
      </c>
      <c r="E103" s="11">
        <f t="shared" si="4"/>
        <v>1</v>
      </c>
      <c r="F103" s="11">
        <f t="shared" si="5"/>
        <v>3052500000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408</v>
      </c>
      <c r="E104" s="11">
        <f t="shared" si="4"/>
        <v>0</v>
      </c>
      <c r="F104" s="11">
        <f t="shared" si="5"/>
        <v>-26928000000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408</v>
      </c>
      <c r="E105" s="11">
        <f t="shared" si="4"/>
        <v>0</v>
      </c>
      <c r="F105" s="11">
        <f t="shared" si="5"/>
        <v>-59160000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406</v>
      </c>
      <c r="E106" s="11">
        <f t="shared" si="4"/>
        <v>1</v>
      </c>
      <c r="F106" s="11">
        <f t="shared" si="5"/>
        <v>2430000000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404</v>
      </c>
      <c r="E107" s="11">
        <f t="shared" si="4"/>
        <v>0</v>
      </c>
      <c r="F107" s="11">
        <f t="shared" si="5"/>
        <v>-2426383600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401</v>
      </c>
      <c r="E108" s="11">
        <f t="shared" si="4"/>
        <v>1</v>
      </c>
      <c r="F108" s="11">
        <f t="shared" si="5"/>
        <v>2400000000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389</v>
      </c>
      <c r="E109" s="11">
        <f t="shared" si="4"/>
        <v>0</v>
      </c>
      <c r="F109" s="11">
        <f t="shared" si="5"/>
        <v>-46680000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388</v>
      </c>
      <c r="E110" s="11">
        <f t="shared" si="4"/>
        <v>1</v>
      </c>
      <c r="F110" s="11">
        <f t="shared" si="5"/>
        <v>1548000000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387</v>
      </c>
      <c r="E111" s="11">
        <f t="shared" si="4"/>
        <v>1</v>
      </c>
      <c r="F111" s="11">
        <f t="shared" si="5"/>
        <v>1080800000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383</v>
      </c>
      <c r="E112" s="11">
        <f t="shared" si="4"/>
        <v>0</v>
      </c>
      <c r="F112" s="11">
        <f t="shared" si="5"/>
        <v>-76600000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382</v>
      </c>
      <c r="E113" s="11">
        <f t="shared" si="4"/>
        <v>1</v>
      </c>
      <c r="F113" s="11">
        <f t="shared" si="5"/>
        <v>27550110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365</v>
      </c>
      <c r="E114" s="11">
        <f t="shared" si="4"/>
        <v>0</v>
      </c>
      <c r="F114" s="11">
        <f t="shared" si="5"/>
        <v>-73000000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364</v>
      </c>
      <c r="E115" s="11">
        <f t="shared" si="4"/>
        <v>0</v>
      </c>
      <c r="F115" s="23">
        <f t="shared" si="5"/>
        <v>-4004000000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364</v>
      </c>
      <c r="E116" s="11">
        <f t="shared" si="4"/>
        <v>0</v>
      </c>
      <c r="F116" s="11">
        <f t="shared" si="5"/>
        <v>-72800000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362</v>
      </c>
      <c r="E117" s="11">
        <f t="shared" si="4"/>
        <v>0</v>
      </c>
      <c r="F117" s="11">
        <f t="shared" si="5"/>
        <v>-163081000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362</v>
      </c>
      <c r="E118" s="11">
        <f t="shared" si="4"/>
        <v>0</v>
      </c>
      <c r="F118" s="11">
        <f t="shared" si="5"/>
        <v>-72400000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356</v>
      </c>
      <c r="E119" s="11">
        <f t="shared" si="4"/>
        <v>0</v>
      </c>
      <c r="F119" s="11">
        <f t="shared" si="5"/>
        <v>-55019800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356</v>
      </c>
      <c r="E120" s="11">
        <f t="shared" si="4"/>
        <v>0</v>
      </c>
      <c r="F120" s="11">
        <f t="shared" si="5"/>
        <v>-113920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355</v>
      </c>
      <c r="E121" s="11">
        <f t="shared" si="4"/>
        <v>0</v>
      </c>
      <c r="F121" s="11">
        <f t="shared" si="5"/>
        <v>-153360000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349</v>
      </c>
      <c r="E122" s="11">
        <f t="shared" si="4"/>
        <v>1</v>
      </c>
      <c r="F122" s="11">
        <f t="shared" si="5"/>
        <v>25766964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328</v>
      </c>
      <c r="E123" s="11">
        <f t="shared" si="4"/>
        <v>0</v>
      </c>
      <c r="F123" s="11">
        <f t="shared" si="5"/>
        <v>-17056000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287</v>
      </c>
      <c r="E124" s="11">
        <f t="shared" si="4"/>
        <v>1</v>
      </c>
      <c r="F124" s="11">
        <f t="shared" si="5"/>
        <v>339482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286</v>
      </c>
      <c r="E125" s="11">
        <f t="shared" si="4"/>
        <v>1</v>
      </c>
      <c r="F125" s="11">
        <f t="shared" si="5"/>
        <v>684000000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284</v>
      </c>
      <c r="E126" s="11">
        <f t="shared" si="4"/>
        <v>1</v>
      </c>
      <c r="F126" s="11">
        <f t="shared" si="5"/>
        <v>380012400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284</v>
      </c>
      <c r="E127" s="11">
        <f t="shared" si="4"/>
        <v>1</v>
      </c>
      <c r="F127" s="11">
        <f t="shared" si="5"/>
        <v>380012400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272</v>
      </c>
      <c r="E128" s="11">
        <f t="shared" si="4"/>
        <v>0</v>
      </c>
      <c r="F128" s="11">
        <f t="shared" si="5"/>
        <v>-54400000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270</v>
      </c>
      <c r="E129" s="11">
        <f t="shared" si="4"/>
        <v>0</v>
      </c>
      <c r="F129" s="11">
        <f>B129*(D129-E129)</f>
        <v>-4216860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269</v>
      </c>
      <c r="E130" s="11">
        <f t="shared" si="4"/>
        <v>0</v>
      </c>
      <c r="F130" s="11">
        <f t="shared" si="5"/>
        <v>-53800000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268</v>
      </c>
      <c r="E131" s="11">
        <f t="shared" ref="E131:E201" si="7">IF(B131&gt;0,1,0)</f>
        <v>0</v>
      </c>
      <c r="F131" s="11">
        <f t="shared" si="5"/>
        <v>-53600000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267</v>
      </c>
      <c r="E132" s="11">
        <f t="shared" si="7"/>
        <v>0</v>
      </c>
      <c r="F132" s="11">
        <f t="shared" si="5"/>
        <v>-104130000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267</v>
      </c>
      <c r="E133" s="11">
        <f t="shared" si="7"/>
        <v>0</v>
      </c>
      <c r="F133" s="11">
        <f t="shared" si="5"/>
        <v>-6541500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266</v>
      </c>
      <c r="E134" s="11">
        <f t="shared" si="7"/>
        <v>0</v>
      </c>
      <c r="F134" s="11">
        <f t="shared" si="5"/>
        <v>-25270000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262</v>
      </c>
      <c r="E135" s="11">
        <f t="shared" si="7"/>
        <v>0</v>
      </c>
      <c r="F135" s="11">
        <f t="shared" si="5"/>
        <v>-52400000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260</v>
      </c>
      <c r="E136" s="11">
        <f t="shared" si="7"/>
        <v>1</v>
      </c>
      <c r="F136" s="11">
        <f t="shared" si="5"/>
        <v>12950000000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259</v>
      </c>
      <c r="E137" s="11">
        <f t="shared" si="7"/>
        <v>1</v>
      </c>
      <c r="F137" s="11">
        <f t="shared" si="5"/>
        <v>3096000000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257</v>
      </c>
      <c r="E138" s="11">
        <f t="shared" si="7"/>
        <v>1</v>
      </c>
      <c r="F138" s="11">
        <f t="shared" si="5"/>
        <v>512000000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256</v>
      </c>
      <c r="E139" s="11">
        <f t="shared" si="7"/>
        <v>1</v>
      </c>
      <c r="F139" s="11">
        <f t="shared" si="5"/>
        <v>22322190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243</v>
      </c>
      <c r="E140" s="11">
        <f t="shared" si="7"/>
        <v>0</v>
      </c>
      <c r="F140" s="11">
        <f t="shared" si="5"/>
        <v>-729218700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242</v>
      </c>
      <c r="E141" s="11">
        <f t="shared" si="7"/>
        <v>0</v>
      </c>
      <c r="F141" s="11">
        <f t="shared" si="5"/>
        <v>-726217800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225</v>
      </c>
      <c r="E142" s="11">
        <f t="shared" si="7"/>
        <v>1</v>
      </c>
      <c r="F142" s="11">
        <f t="shared" si="5"/>
        <v>134853600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225</v>
      </c>
      <c r="E143" s="11">
        <f t="shared" si="7"/>
        <v>0</v>
      </c>
      <c r="F143" s="11">
        <f t="shared" si="5"/>
        <v>-10350000000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194</v>
      </c>
      <c r="E144" s="11">
        <f t="shared" si="7"/>
        <v>1</v>
      </c>
      <c r="F144" s="11">
        <f t="shared" si="5"/>
        <v>29742651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193</v>
      </c>
      <c r="E145" s="11">
        <f t="shared" si="7"/>
        <v>1</v>
      </c>
      <c r="F145" s="11">
        <f t="shared" si="5"/>
        <v>576000000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190</v>
      </c>
      <c r="E146" s="11">
        <f t="shared" si="7"/>
        <v>0</v>
      </c>
      <c r="F146" s="11">
        <f t="shared" si="5"/>
        <v>-38000000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185</v>
      </c>
      <c r="E147" s="11">
        <f t="shared" si="7"/>
        <v>0</v>
      </c>
      <c r="F147" s="11">
        <f t="shared" si="5"/>
        <v>-37000000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184</v>
      </c>
      <c r="E148" s="11">
        <f t="shared" si="7"/>
        <v>0</v>
      </c>
      <c r="F148" s="11">
        <f t="shared" si="5"/>
        <v>-36800000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180</v>
      </c>
      <c r="E149" s="11">
        <f t="shared" si="7"/>
        <v>0</v>
      </c>
      <c r="F149" s="11">
        <f t="shared" si="5"/>
        <v>-36000000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179</v>
      </c>
      <c r="E150" s="11">
        <f t="shared" si="7"/>
        <v>1</v>
      </c>
      <c r="F150" s="11">
        <f t="shared" si="5"/>
        <v>4285065200</v>
      </c>
      <c r="G150" s="11" t="s">
        <v>712</v>
      </c>
    </row>
    <row r="151" spans="1:11" x14ac:dyDescent="0.25">
      <c r="A151" s="11" t="s">
        <v>721</v>
      </c>
      <c r="B151" s="3">
        <v>-200000</v>
      </c>
      <c r="C151" s="11">
        <v>6</v>
      </c>
      <c r="D151" s="11">
        <f t="shared" si="6"/>
        <v>177</v>
      </c>
      <c r="E151" s="11">
        <f t="shared" si="7"/>
        <v>0</v>
      </c>
      <c r="F151" s="11">
        <f t="shared" si="5"/>
        <v>-35400000</v>
      </c>
      <c r="G151" s="11" t="s">
        <v>158</v>
      </c>
    </row>
    <row r="152" spans="1:11" x14ac:dyDescent="0.25">
      <c r="A152" s="11" t="s">
        <v>723</v>
      </c>
      <c r="B152" s="3">
        <v>-30000000</v>
      </c>
      <c r="C152" s="11">
        <v>1</v>
      </c>
      <c r="D152" s="11">
        <f t="shared" si="6"/>
        <v>171</v>
      </c>
      <c r="E152" s="11">
        <f t="shared" si="7"/>
        <v>0</v>
      </c>
      <c r="F152" s="11">
        <f t="shared" si="5"/>
        <v>-5130000000</v>
      </c>
      <c r="G152" s="11" t="s">
        <v>724</v>
      </c>
    </row>
    <row r="153" spans="1:11" x14ac:dyDescent="0.25">
      <c r="A153" s="11" t="s">
        <v>731</v>
      </c>
      <c r="B153" s="3">
        <v>-52000</v>
      </c>
      <c r="C153" s="11">
        <v>0</v>
      </c>
      <c r="D153" s="11">
        <f t="shared" si="6"/>
        <v>170</v>
      </c>
      <c r="E153" s="11">
        <f t="shared" si="7"/>
        <v>0</v>
      </c>
      <c r="F153" s="11">
        <f t="shared" si="5"/>
        <v>-8840000</v>
      </c>
      <c r="G153" s="11" t="s">
        <v>732</v>
      </c>
    </row>
    <row r="154" spans="1:11" x14ac:dyDescent="0.25">
      <c r="A154" s="11" t="s">
        <v>731</v>
      </c>
      <c r="B154" s="3">
        <v>-136000</v>
      </c>
      <c r="C154" s="11">
        <v>5</v>
      </c>
      <c r="D154" s="11">
        <f t="shared" si="6"/>
        <v>170</v>
      </c>
      <c r="E154" s="11">
        <f t="shared" si="7"/>
        <v>0</v>
      </c>
      <c r="F154" s="11">
        <f t="shared" si="5"/>
        <v>-23120000</v>
      </c>
      <c r="G154" s="11" t="s">
        <v>733</v>
      </c>
    </row>
    <row r="155" spans="1:11" x14ac:dyDescent="0.25">
      <c r="A155" s="11" t="s">
        <v>736</v>
      </c>
      <c r="B155" s="3">
        <v>3000000</v>
      </c>
      <c r="C155" s="11">
        <v>1</v>
      </c>
      <c r="D155" s="11">
        <f t="shared" si="6"/>
        <v>165</v>
      </c>
      <c r="E155" s="11">
        <f t="shared" si="7"/>
        <v>1</v>
      </c>
      <c r="F155" s="11">
        <f t="shared" si="5"/>
        <v>492000000</v>
      </c>
      <c r="G155" s="11" t="s">
        <v>737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164</v>
      </c>
      <c r="E156" s="11">
        <f t="shared" si="7"/>
        <v>1</v>
      </c>
      <c r="F156" s="11">
        <f t="shared" si="5"/>
        <v>30823789</v>
      </c>
      <c r="G156" s="11" t="s">
        <v>738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164</v>
      </c>
      <c r="E157" s="11">
        <f t="shared" si="7"/>
        <v>1</v>
      </c>
      <c r="F157" s="11">
        <f t="shared" si="5"/>
        <v>3949115100</v>
      </c>
      <c r="G157" s="11" t="s">
        <v>739</v>
      </c>
    </row>
    <row r="158" spans="1:11" x14ac:dyDescent="0.25">
      <c r="A158" s="11" t="s">
        <v>759</v>
      </c>
      <c r="B158" s="3">
        <v>24295200</v>
      </c>
      <c r="C158" s="11">
        <v>0</v>
      </c>
      <c r="D158" s="11">
        <f t="shared" si="6"/>
        <v>156</v>
      </c>
      <c r="E158" s="11">
        <f t="shared" si="7"/>
        <v>1</v>
      </c>
      <c r="F158" s="11">
        <f t="shared" si="5"/>
        <v>3765756000</v>
      </c>
      <c r="G158" s="11" t="s">
        <v>753</v>
      </c>
    </row>
    <row r="159" spans="1:11" x14ac:dyDescent="0.25">
      <c r="A159" s="11" t="s">
        <v>759</v>
      </c>
      <c r="B159" s="3">
        <v>-201000</v>
      </c>
      <c r="C159" s="11">
        <v>5</v>
      </c>
      <c r="D159" s="11">
        <f t="shared" si="6"/>
        <v>156</v>
      </c>
      <c r="E159" s="11">
        <f t="shared" si="7"/>
        <v>0</v>
      </c>
      <c r="F159" s="11">
        <f t="shared" si="5"/>
        <v>-31356000</v>
      </c>
      <c r="G159" s="11" t="s">
        <v>766</v>
      </c>
    </row>
    <row r="160" spans="1:11" x14ac:dyDescent="0.25">
      <c r="A160" s="11" t="s">
        <v>767</v>
      </c>
      <c r="B160" s="3">
        <v>-200000</v>
      </c>
      <c r="C160" s="11">
        <v>3</v>
      </c>
      <c r="D160" s="11">
        <f t="shared" si="6"/>
        <v>151</v>
      </c>
      <c r="E160" s="11">
        <f t="shared" si="7"/>
        <v>0</v>
      </c>
      <c r="F160" s="11">
        <f t="shared" si="5"/>
        <v>-30200000</v>
      </c>
      <c r="G160" s="11" t="s">
        <v>768</v>
      </c>
    </row>
    <row r="161" spans="1:7" x14ac:dyDescent="0.25">
      <c r="A161" s="11" t="s">
        <v>774</v>
      </c>
      <c r="B161" s="3">
        <v>-200000</v>
      </c>
      <c r="C161" s="11">
        <v>4</v>
      </c>
      <c r="D161" s="11">
        <f t="shared" si="6"/>
        <v>148</v>
      </c>
      <c r="E161" s="11">
        <f t="shared" si="7"/>
        <v>0</v>
      </c>
      <c r="F161" s="11">
        <f t="shared" si="5"/>
        <v>-29600000</v>
      </c>
      <c r="G161" s="11" t="s">
        <v>768</v>
      </c>
    </row>
    <row r="162" spans="1:7" x14ac:dyDescent="0.25">
      <c r="A162" s="11" t="s">
        <v>776</v>
      </c>
      <c r="B162" s="3">
        <v>-200000</v>
      </c>
      <c r="C162" s="11">
        <v>3</v>
      </c>
      <c r="D162" s="11">
        <f t="shared" si="6"/>
        <v>144</v>
      </c>
      <c r="E162" s="11">
        <f t="shared" si="7"/>
        <v>0</v>
      </c>
      <c r="F162" s="11">
        <f t="shared" si="5"/>
        <v>-28800000</v>
      </c>
      <c r="G162" s="11" t="s">
        <v>768</v>
      </c>
    </row>
    <row r="163" spans="1:7" x14ac:dyDescent="0.25">
      <c r="A163" s="11" t="s">
        <v>777</v>
      </c>
      <c r="B163" s="3">
        <v>-200000</v>
      </c>
      <c r="C163" s="11">
        <v>7</v>
      </c>
      <c r="D163" s="11">
        <f t="shared" si="6"/>
        <v>141</v>
      </c>
      <c r="E163" s="11">
        <f t="shared" si="7"/>
        <v>0</v>
      </c>
      <c r="F163" s="11">
        <f t="shared" si="5"/>
        <v>-28200000</v>
      </c>
      <c r="G163" s="11" t="s">
        <v>768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134</v>
      </c>
      <c r="E164" s="11">
        <f t="shared" si="7"/>
        <v>1</v>
      </c>
      <c r="F164" s="11">
        <f t="shared" si="5"/>
        <v>60870642</v>
      </c>
      <c r="G164" s="11" t="s">
        <v>781</v>
      </c>
    </row>
    <row r="165" spans="1:7" x14ac:dyDescent="0.25">
      <c r="A165" s="11" t="s">
        <v>786</v>
      </c>
      <c r="B165" s="3">
        <v>2700000</v>
      </c>
      <c r="C165" s="11">
        <v>0</v>
      </c>
      <c r="D165" s="11">
        <f t="shared" si="6"/>
        <v>131</v>
      </c>
      <c r="E165" s="11">
        <f t="shared" si="7"/>
        <v>1</v>
      </c>
      <c r="F165" s="11">
        <f t="shared" si="5"/>
        <v>351000000</v>
      </c>
      <c r="G165" s="11" t="s">
        <v>787</v>
      </c>
    </row>
    <row r="166" spans="1:7" x14ac:dyDescent="0.25">
      <c r="A166" s="11" t="s">
        <v>786</v>
      </c>
      <c r="B166" s="3">
        <v>2500000</v>
      </c>
      <c r="C166" s="11">
        <v>7</v>
      </c>
      <c r="D166" s="11">
        <f t="shared" si="6"/>
        <v>131</v>
      </c>
      <c r="E166" s="11">
        <f t="shared" si="7"/>
        <v>1</v>
      </c>
      <c r="F166" s="11">
        <f t="shared" si="5"/>
        <v>325000000</v>
      </c>
      <c r="G166" s="11" t="s">
        <v>788</v>
      </c>
    </row>
    <row r="167" spans="1:7" x14ac:dyDescent="0.25">
      <c r="A167" s="11" t="s">
        <v>801</v>
      </c>
      <c r="B167" s="3">
        <v>-200000</v>
      </c>
      <c r="C167" s="11">
        <v>2</v>
      </c>
      <c r="D167" s="11">
        <f t="shared" si="6"/>
        <v>124</v>
      </c>
      <c r="E167" s="11">
        <f t="shared" si="7"/>
        <v>0</v>
      </c>
      <c r="F167" s="11">
        <f t="shared" si="5"/>
        <v>-24800000</v>
      </c>
      <c r="G167" s="11" t="s">
        <v>502</v>
      </c>
    </row>
    <row r="168" spans="1:7" x14ac:dyDescent="0.25">
      <c r="A168" s="11" t="s">
        <v>803</v>
      </c>
      <c r="B168" s="3">
        <v>-200000</v>
      </c>
      <c r="C168" s="11">
        <v>6</v>
      </c>
      <c r="D168" s="11">
        <f t="shared" si="6"/>
        <v>122</v>
      </c>
      <c r="E168" s="11">
        <f t="shared" si="7"/>
        <v>0</v>
      </c>
      <c r="F168" s="11">
        <f t="shared" si="5"/>
        <v>-24400000</v>
      </c>
      <c r="G168" s="11" t="s">
        <v>502</v>
      </c>
    </row>
    <row r="169" spans="1:7" x14ac:dyDescent="0.25">
      <c r="A169" s="11" t="s">
        <v>805</v>
      </c>
      <c r="B169" s="3">
        <v>-200000</v>
      </c>
      <c r="C169" s="11">
        <v>3</v>
      </c>
      <c r="D169" s="11">
        <f t="shared" si="6"/>
        <v>116</v>
      </c>
      <c r="E169" s="11">
        <f t="shared" si="7"/>
        <v>0</v>
      </c>
      <c r="F169" s="11">
        <f t="shared" si="5"/>
        <v>-23200000</v>
      </c>
      <c r="G169" s="11" t="s">
        <v>502</v>
      </c>
    </row>
    <row r="170" spans="1:7" x14ac:dyDescent="0.25">
      <c r="A170" s="11" t="s">
        <v>810</v>
      </c>
      <c r="B170" s="3">
        <v>-200000</v>
      </c>
      <c r="C170" s="11">
        <v>0</v>
      </c>
      <c r="D170" s="11">
        <f t="shared" si="6"/>
        <v>113</v>
      </c>
      <c r="E170" s="11">
        <f t="shared" si="7"/>
        <v>0</v>
      </c>
      <c r="F170" s="11">
        <f t="shared" si="5"/>
        <v>-22600000</v>
      </c>
      <c r="G170" s="11" t="s">
        <v>502</v>
      </c>
    </row>
    <row r="171" spans="1:7" x14ac:dyDescent="0.25">
      <c r="A171" s="11" t="s">
        <v>810</v>
      </c>
      <c r="B171" s="3">
        <v>3000000</v>
      </c>
      <c r="C171" s="11">
        <v>3</v>
      </c>
      <c r="D171" s="11">
        <f t="shared" si="6"/>
        <v>113</v>
      </c>
      <c r="E171" s="11">
        <f t="shared" si="7"/>
        <v>1</v>
      </c>
      <c r="F171" s="11">
        <f t="shared" si="5"/>
        <v>336000000</v>
      </c>
      <c r="G171" s="11" t="s">
        <v>811</v>
      </c>
    </row>
    <row r="172" spans="1:7" x14ac:dyDescent="0.25">
      <c r="A172" s="11" t="s">
        <v>813</v>
      </c>
      <c r="B172" s="3">
        <v>-200000</v>
      </c>
      <c r="C172" s="11">
        <v>1</v>
      </c>
      <c r="D172" s="11">
        <f t="shared" si="6"/>
        <v>110</v>
      </c>
      <c r="E172" s="11">
        <f t="shared" si="7"/>
        <v>0</v>
      </c>
      <c r="F172" s="11">
        <f t="shared" si="5"/>
        <v>-22000000</v>
      </c>
      <c r="G172" s="11" t="s">
        <v>158</v>
      </c>
    </row>
    <row r="173" spans="1:7" x14ac:dyDescent="0.25">
      <c r="A173" s="11" t="s">
        <v>813</v>
      </c>
      <c r="B173" s="3">
        <v>3000000</v>
      </c>
      <c r="C173" s="11">
        <v>1</v>
      </c>
      <c r="D173" s="11">
        <f t="shared" si="6"/>
        <v>109</v>
      </c>
      <c r="E173" s="11">
        <f t="shared" si="7"/>
        <v>1</v>
      </c>
      <c r="F173" s="11">
        <f t="shared" si="5"/>
        <v>324000000</v>
      </c>
      <c r="G173" s="11" t="s">
        <v>816</v>
      </c>
    </row>
    <row r="174" spans="1:7" x14ac:dyDescent="0.25">
      <c r="A174" s="11" t="s">
        <v>814</v>
      </c>
      <c r="B174" s="3">
        <v>2000000</v>
      </c>
      <c r="C174" s="11">
        <v>1</v>
      </c>
      <c r="D174" s="11">
        <f t="shared" si="6"/>
        <v>108</v>
      </c>
      <c r="E174" s="11">
        <f t="shared" si="7"/>
        <v>1</v>
      </c>
      <c r="F174" s="11">
        <f t="shared" si="5"/>
        <v>214000000</v>
      </c>
      <c r="G174" s="11" t="s">
        <v>817</v>
      </c>
    </row>
    <row r="175" spans="1:7" x14ac:dyDescent="0.25">
      <c r="A175" s="11" t="s">
        <v>814</v>
      </c>
      <c r="B175" s="3">
        <v>1300000</v>
      </c>
      <c r="C175" s="11">
        <v>2</v>
      </c>
      <c r="D175" s="11">
        <f t="shared" si="6"/>
        <v>107</v>
      </c>
      <c r="E175" s="11">
        <f t="shared" si="7"/>
        <v>1</v>
      </c>
      <c r="F175" s="11">
        <f t="shared" si="5"/>
        <v>137800000</v>
      </c>
      <c r="G175" s="11" t="s">
        <v>818</v>
      </c>
    </row>
    <row r="176" spans="1:7" x14ac:dyDescent="0.25">
      <c r="A176" s="11" t="s">
        <v>822</v>
      </c>
      <c r="B176" s="3">
        <v>-200000</v>
      </c>
      <c r="C176" s="11">
        <v>0</v>
      </c>
      <c r="D176" s="11">
        <f t="shared" si="6"/>
        <v>105</v>
      </c>
      <c r="E176" s="11">
        <f t="shared" si="7"/>
        <v>0</v>
      </c>
      <c r="F176" s="11">
        <f t="shared" si="5"/>
        <v>-21000000</v>
      </c>
      <c r="G176" s="11" t="s">
        <v>768</v>
      </c>
    </row>
    <row r="177" spans="1:7" x14ac:dyDescent="0.25">
      <c r="A177" s="11" t="s">
        <v>822</v>
      </c>
      <c r="B177" s="3">
        <v>1700000</v>
      </c>
      <c r="C177" s="11">
        <v>1</v>
      </c>
      <c r="D177" s="11">
        <f t="shared" si="6"/>
        <v>105</v>
      </c>
      <c r="E177" s="11">
        <f t="shared" si="7"/>
        <v>1</v>
      </c>
      <c r="F177" s="11">
        <f t="shared" si="5"/>
        <v>176800000</v>
      </c>
      <c r="G177" s="11" t="s">
        <v>823</v>
      </c>
    </row>
    <row r="178" spans="1:7" x14ac:dyDescent="0.25">
      <c r="A178" s="11" t="s">
        <v>824</v>
      </c>
      <c r="B178" s="3">
        <v>-200000</v>
      </c>
      <c r="C178" s="11">
        <v>1</v>
      </c>
      <c r="D178" s="11">
        <f t="shared" si="6"/>
        <v>104</v>
      </c>
      <c r="E178" s="11">
        <f t="shared" si="7"/>
        <v>0</v>
      </c>
      <c r="F178" s="11">
        <f t="shared" si="5"/>
        <v>-20800000</v>
      </c>
      <c r="G178" s="11" t="s">
        <v>502</v>
      </c>
    </row>
    <row r="179" spans="1:7" x14ac:dyDescent="0.25">
      <c r="A179" s="11" t="s">
        <v>827</v>
      </c>
      <c r="B179" s="3">
        <v>571492</v>
      </c>
      <c r="C179" s="11">
        <v>3</v>
      </c>
      <c r="D179" s="11">
        <f t="shared" si="6"/>
        <v>103</v>
      </c>
      <c r="E179" s="11">
        <f t="shared" si="7"/>
        <v>1</v>
      </c>
      <c r="F179" s="11">
        <f t="shared" si="5"/>
        <v>58292184</v>
      </c>
      <c r="G179" s="11" t="s">
        <v>242</v>
      </c>
    </row>
    <row r="180" spans="1:7" x14ac:dyDescent="0.25">
      <c r="A180" s="11" t="s">
        <v>832</v>
      </c>
      <c r="B180" s="3">
        <v>3000000</v>
      </c>
      <c r="C180" s="11">
        <v>7</v>
      </c>
      <c r="D180" s="11">
        <f t="shared" si="6"/>
        <v>100</v>
      </c>
      <c r="E180" s="11">
        <f t="shared" si="7"/>
        <v>1</v>
      </c>
      <c r="F180" s="11">
        <f t="shared" si="5"/>
        <v>297000000</v>
      </c>
      <c r="G180" s="11" t="s">
        <v>836</v>
      </c>
    </row>
    <row r="181" spans="1:7" x14ac:dyDescent="0.25">
      <c r="A181" s="11" t="s">
        <v>845</v>
      </c>
      <c r="B181" s="3">
        <v>2000000</v>
      </c>
      <c r="C181" s="11">
        <v>8</v>
      </c>
      <c r="D181" s="11">
        <f t="shared" si="6"/>
        <v>93</v>
      </c>
      <c r="E181" s="11">
        <f t="shared" si="7"/>
        <v>1</v>
      </c>
      <c r="F181" s="11">
        <f t="shared" si="5"/>
        <v>184000000</v>
      </c>
      <c r="G181" s="11" t="s">
        <v>846</v>
      </c>
    </row>
    <row r="182" spans="1:7" x14ac:dyDescent="0.25">
      <c r="A182" s="11" t="s">
        <v>858</v>
      </c>
      <c r="B182" s="3">
        <v>-2200700</v>
      </c>
      <c r="C182" s="11">
        <v>12</v>
      </c>
      <c r="D182" s="11">
        <f t="shared" si="6"/>
        <v>85</v>
      </c>
      <c r="E182" s="11">
        <f t="shared" si="7"/>
        <v>0</v>
      </c>
      <c r="F182" s="11">
        <f t="shared" si="5"/>
        <v>-187059500</v>
      </c>
      <c r="G182" s="11" t="s">
        <v>860</v>
      </c>
    </row>
    <row r="183" spans="1:7" x14ac:dyDescent="0.25">
      <c r="A183" s="11" t="s">
        <v>868</v>
      </c>
      <c r="B183" s="3">
        <v>675087</v>
      </c>
      <c r="C183" s="11">
        <v>30</v>
      </c>
      <c r="D183" s="11">
        <f t="shared" si="6"/>
        <v>73</v>
      </c>
      <c r="E183" s="11">
        <f t="shared" si="7"/>
        <v>1</v>
      </c>
      <c r="F183" s="11">
        <f t="shared" si="5"/>
        <v>48606264</v>
      </c>
      <c r="G183" s="11" t="s">
        <v>264</v>
      </c>
    </row>
    <row r="184" spans="1:7" x14ac:dyDescent="0.25">
      <c r="A184" s="11" t="s">
        <v>906</v>
      </c>
      <c r="B184" s="3">
        <v>677000</v>
      </c>
      <c r="C184" s="11">
        <v>15</v>
      </c>
      <c r="D184" s="11">
        <f>D185+C184</f>
        <v>43</v>
      </c>
      <c r="E184" s="11">
        <f t="shared" si="7"/>
        <v>1</v>
      </c>
      <c r="F184" s="11">
        <f t="shared" si="5"/>
        <v>28434000</v>
      </c>
      <c r="G184" s="11" t="s">
        <v>400</v>
      </c>
    </row>
    <row r="185" spans="1:7" x14ac:dyDescent="0.25">
      <c r="A185" s="11" t="s">
        <v>931</v>
      </c>
      <c r="B185" s="3">
        <v>-10000</v>
      </c>
      <c r="C185" s="11">
        <v>5</v>
      </c>
      <c r="D185" s="11">
        <f t="shared" si="6"/>
        <v>28</v>
      </c>
      <c r="E185" s="11">
        <f t="shared" si="7"/>
        <v>0</v>
      </c>
      <c r="F185" s="11">
        <f t="shared" si="5"/>
        <v>-280000</v>
      </c>
      <c r="G185" s="11" t="s">
        <v>937</v>
      </c>
    </row>
    <row r="186" spans="1:7" x14ac:dyDescent="0.25">
      <c r="A186" s="11" t="s">
        <v>950</v>
      </c>
      <c r="B186" s="3">
        <v>-80500000</v>
      </c>
      <c r="C186" s="11">
        <v>5</v>
      </c>
      <c r="D186" s="11">
        <f t="shared" ref="D186:D201" si="8">D187+C186</f>
        <v>23</v>
      </c>
      <c r="E186" s="11">
        <f t="shared" si="7"/>
        <v>0</v>
      </c>
      <c r="F186" s="11">
        <f t="shared" si="5"/>
        <v>-1851500000</v>
      </c>
      <c r="G186" s="11" t="s">
        <v>1052</v>
      </c>
    </row>
    <row r="187" spans="1:7" x14ac:dyDescent="0.25">
      <c r="A187" s="11" t="s">
        <v>1051</v>
      </c>
      <c r="B187" s="3">
        <v>-1100000</v>
      </c>
      <c r="C187" s="11">
        <v>0</v>
      </c>
      <c r="D187" s="11">
        <f t="shared" si="8"/>
        <v>18</v>
      </c>
      <c r="E187" s="11">
        <f t="shared" si="7"/>
        <v>0</v>
      </c>
      <c r="F187" s="11">
        <f t="shared" si="5"/>
        <v>-19800000</v>
      </c>
      <c r="G187" s="11" t="s">
        <v>1052</v>
      </c>
    </row>
    <row r="188" spans="1:7" x14ac:dyDescent="0.25">
      <c r="A188" s="11" t="s">
        <v>1051</v>
      </c>
      <c r="B188" s="3">
        <v>3000000</v>
      </c>
      <c r="C188" s="11">
        <v>1</v>
      </c>
      <c r="D188" s="11">
        <f t="shared" si="8"/>
        <v>18</v>
      </c>
      <c r="E188" s="11">
        <f t="shared" si="7"/>
        <v>1</v>
      </c>
      <c r="F188" s="11">
        <f t="shared" si="5"/>
        <v>51000000</v>
      </c>
      <c r="G188" s="11" t="s">
        <v>1063</v>
      </c>
    </row>
    <row r="189" spans="1:7" x14ac:dyDescent="0.25">
      <c r="A189" s="11" t="s">
        <v>1062</v>
      </c>
      <c r="B189" s="3">
        <v>2000000</v>
      </c>
      <c r="C189" s="11">
        <v>0</v>
      </c>
      <c r="D189" s="11">
        <f t="shared" si="8"/>
        <v>17</v>
      </c>
      <c r="E189" s="11">
        <f t="shared" si="7"/>
        <v>1</v>
      </c>
      <c r="F189" s="11">
        <f t="shared" si="5"/>
        <v>32000000</v>
      </c>
      <c r="G189" s="11" t="s">
        <v>1063</v>
      </c>
    </row>
    <row r="190" spans="1:7" x14ac:dyDescent="0.25">
      <c r="A190" s="11" t="s">
        <v>1062</v>
      </c>
      <c r="B190" s="3">
        <v>-5000000</v>
      </c>
      <c r="C190" s="11">
        <v>1</v>
      </c>
      <c r="D190" s="11">
        <f t="shared" si="8"/>
        <v>17</v>
      </c>
      <c r="E190" s="11">
        <f t="shared" si="7"/>
        <v>0</v>
      </c>
      <c r="F190" s="11">
        <f t="shared" si="5"/>
        <v>-85000000</v>
      </c>
      <c r="G190" s="11" t="s">
        <v>1052</v>
      </c>
    </row>
    <row r="191" spans="1:7" x14ac:dyDescent="0.25">
      <c r="A191" s="11" t="s">
        <v>1068</v>
      </c>
      <c r="B191" s="3">
        <v>483248</v>
      </c>
      <c r="C191" s="11">
        <v>4</v>
      </c>
      <c r="D191" s="11">
        <f t="shared" si="8"/>
        <v>16</v>
      </c>
      <c r="E191" s="11">
        <f t="shared" si="7"/>
        <v>1</v>
      </c>
      <c r="F191" s="11">
        <f t="shared" si="5"/>
        <v>7248720</v>
      </c>
      <c r="G191" s="11" t="s">
        <v>1070</v>
      </c>
    </row>
    <row r="192" spans="1:7" x14ac:dyDescent="0.25">
      <c r="A192" s="11" t="s">
        <v>1096</v>
      </c>
      <c r="B192" s="3">
        <v>-115300</v>
      </c>
      <c r="C192" s="11">
        <v>4</v>
      </c>
      <c r="D192" s="11">
        <f t="shared" si="8"/>
        <v>12</v>
      </c>
      <c r="E192" s="11">
        <f t="shared" si="7"/>
        <v>0</v>
      </c>
      <c r="F192" s="11">
        <f t="shared" si="5"/>
        <v>-1383600</v>
      </c>
      <c r="G192" s="11" t="s">
        <v>1097</v>
      </c>
    </row>
    <row r="193" spans="1:7" x14ac:dyDescent="0.25">
      <c r="A193" s="11" t="s">
        <v>1108</v>
      </c>
      <c r="B193" s="3">
        <v>90000000</v>
      </c>
      <c r="C193" s="11">
        <v>7</v>
      </c>
      <c r="D193" s="11">
        <f t="shared" si="8"/>
        <v>8</v>
      </c>
      <c r="E193" s="11">
        <f t="shared" si="7"/>
        <v>1</v>
      </c>
      <c r="F193" s="11">
        <f t="shared" si="5"/>
        <v>630000000</v>
      </c>
      <c r="G193" s="11" t="s">
        <v>1109</v>
      </c>
    </row>
    <row r="194" spans="1:7" x14ac:dyDescent="0.25">
      <c r="A194" s="11" t="s">
        <v>1127</v>
      </c>
      <c r="B194" s="3">
        <v>52000000</v>
      </c>
      <c r="C194" s="11">
        <v>0</v>
      </c>
      <c r="D194" s="11">
        <f t="shared" si="8"/>
        <v>1</v>
      </c>
      <c r="E194" s="11">
        <f t="shared" si="7"/>
        <v>1</v>
      </c>
      <c r="F194" s="11">
        <f t="shared" si="5"/>
        <v>0</v>
      </c>
      <c r="G194" s="11" t="s">
        <v>1133</v>
      </c>
    </row>
    <row r="195" spans="1:7" x14ac:dyDescent="0.25">
      <c r="A195" s="11" t="s">
        <v>1127</v>
      </c>
      <c r="B195" s="3">
        <v>25000000</v>
      </c>
      <c r="C195" s="11">
        <v>0</v>
      </c>
      <c r="D195" s="11">
        <f t="shared" si="8"/>
        <v>1</v>
      </c>
      <c r="E195" s="11">
        <f t="shared" si="7"/>
        <v>1</v>
      </c>
      <c r="F195" s="11">
        <f t="shared" si="5"/>
        <v>0</v>
      </c>
      <c r="G195" s="11" t="s">
        <v>1134</v>
      </c>
    </row>
    <row r="196" spans="1:7" x14ac:dyDescent="0.25">
      <c r="A196" s="11" t="s">
        <v>1127</v>
      </c>
      <c r="B196" s="3">
        <v>-168000000</v>
      </c>
      <c r="C196" s="11">
        <v>1</v>
      </c>
      <c r="D196" s="11">
        <f t="shared" si="8"/>
        <v>1</v>
      </c>
      <c r="E196" s="11">
        <f t="shared" si="7"/>
        <v>0</v>
      </c>
      <c r="F196" s="11">
        <f t="shared" si="5"/>
        <v>-168000000</v>
      </c>
      <c r="G196" s="11" t="s">
        <v>1135</v>
      </c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984347</v>
      </c>
      <c r="C202" s="11"/>
      <c r="D202" s="11"/>
      <c r="E202" s="11"/>
      <c r="F202" s="29">
        <f>SUM(F2:F200)</f>
        <v>18746752400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27855501.337295692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C1" zoomScaleNormal="100" workbookViewId="0">
      <selection activeCell="G28" sqref="G2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953</v>
      </c>
      <c r="N1" s="11" t="s">
        <v>452</v>
      </c>
      <c r="O1" s="11" t="s">
        <v>754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957</v>
      </c>
      <c r="S2" s="29" t="s">
        <v>723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760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714</v>
      </c>
      <c r="N3" s="29">
        <v>46000000</v>
      </c>
      <c r="O3" s="29">
        <v>40000000</v>
      </c>
      <c r="P3" s="11" t="s">
        <v>955</v>
      </c>
      <c r="S3" s="29" t="s">
        <v>759</v>
      </c>
      <c r="T3" s="29">
        <v>6000000</v>
      </c>
      <c r="U3" s="11">
        <v>25</v>
      </c>
      <c r="V3" s="29">
        <f t="shared" si="1"/>
        <v>150000000</v>
      </c>
      <c r="W3" s="11" t="s">
        <v>761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786</v>
      </c>
      <c r="T4" s="29">
        <v>3500000</v>
      </c>
      <c r="U4" s="11">
        <v>19</v>
      </c>
      <c r="V4" s="29">
        <f t="shared" si="1"/>
        <v>66500000</v>
      </c>
      <c r="W4" s="11" t="s">
        <v>789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715</v>
      </c>
      <c r="N5" s="29">
        <v>27000000</v>
      </c>
      <c r="O5" s="29">
        <v>41000000</v>
      </c>
      <c r="P5" s="11" t="s">
        <v>715</v>
      </c>
      <c r="S5" s="29" t="s">
        <v>812</v>
      </c>
      <c r="T5" s="29">
        <v>500000</v>
      </c>
      <c r="U5" s="11">
        <v>3</v>
      </c>
      <c r="V5" s="29">
        <f t="shared" si="1"/>
        <v>1500000</v>
      </c>
      <c r="W5" s="11" t="s">
        <v>815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-L58*12</f>
        <v>-37560000</v>
      </c>
      <c r="O6" s="29">
        <v>-25000000</v>
      </c>
      <c r="P6" s="11" t="s">
        <v>956</v>
      </c>
      <c r="S6" s="29" t="s">
        <v>814</v>
      </c>
      <c r="T6" s="29">
        <v>-2500000</v>
      </c>
      <c r="U6" s="11">
        <v>1</v>
      </c>
      <c r="V6" s="29">
        <f t="shared" si="1"/>
        <v>-2500000</v>
      </c>
      <c r="W6" s="11" t="s">
        <v>819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720</v>
      </c>
      <c r="M7" s="11" t="s">
        <v>716</v>
      </c>
      <c r="N7" s="29">
        <v>57000000</v>
      </c>
      <c r="O7" s="29"/>
      <c r="P7" s="11"/>
      <c r="S7" s="29" t="s">
        <v>820</v>
      </c>
      <c r="T7" s="29">
        <v>-5800000</v>
      </c>
      <c r="U7" s="11">
        <v>2</v>
      </c>
      <c r="V7" s="29">
        <f t="shared" si="1"/>
        <v>-11600000</v>
      </c>
      <c r="W7" s="11" t="s">
        <v>821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954</v>
      </c>
      <c r="N8" s="29">
        <f>L55*12</f>
        <v>9960000</v>
      </c>
      <c r="O8" s="29"/>
      <c r="P8" s="11"/>
      <c r="S8" s="29" t="s">
        <v>824</v>
      </c>
      <c r="T8" s="29">
        <v>-7500000</v>
      </c>
      <c r="U8" s="11">
        <v>4</v>
      </c>
      <c r="V8" s="29">
        <f t="shared" si="1"/>
        <v>-30000000</v>
      </c>
      <c r="W8" s="11" t="s">
        <v>825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735</v>
      </c>
      <c r="M9" s="11" t="s">
        <v>25</v>
      </c>
      <c r="N9" s="29"/>
      <c r="O9" s="29"/>
      <c r="P9" s="11"/>
      <c r="S9" s="29" t="s">
        <v>832</v>
      </c>
      <c r="T9" s="29">
        <v>-8500000</v>
      </c>
      <c r="U9" s="11">
        <v>7</v>
      </c>
      <c r="V9" s="29">
        <f>T9*U9</f>
        <v>-59500000</v>
      </c>
      <c r="W9" s="11" t="s">
        <v>834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785</v>
      </c>
      <c r="M10" s="11" t="s">
        <v>718</v>
      </c>
      <c r="N10" s="29">
        <f>SUM(N2:N6)</f>
        <v>126440000</v>
      </c>
      <c r="O10" s="29"/>
      <c r="P10" s="11"/>
      <c r="S10" s="29" t="s">
        <v>845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847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831</v>
      </c>
      <c r="M11" s="11" t="s">
        <v>719</v>
      </c>
      <c r="N11" s="29">
        <f>SUM(N2:N9)</f>
        <v>193400000</v>
      </c>
      <c r="O11" s="29">
        <f>SUM(O2:O9)</f>
        <v>210000000</v>
      </c>
      <c r="P11" s="11"/>
      <c r="S11" s="29" t="s">
        <v>868</v>
      </c>
      <c r="T11" s="29">
        <v>-7500000</v>
      </c>
      <c r="U11" s="11">
        <v>30</v>
      </c>
      <c r="V11" s="29">
        <f t="shared" si="5"/>
        <v>-225000000</v>
      </c>
      <c r="W11" s="75" t="s">
        <v>869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876</v>
      </c>
      <c r="S12" s="29" t="s">
        <v>906</v>
      </c>
      <c r="T12" s="29">
        <v>-4500000</v>
      </c>
      <c r="U12" s="11">
        <v>21</v>
      </c>
      <c r="V12" s="29">
        <f t="shared" si="5"/>
        <v>-94500000</v>
      </c>
      <c r="W12" s="11" t="s">
        <v>947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914</v>
      </c>
      <c r="O13" t="s">
        <v>25</v>
      </c>
      <c r="S13" s="29" t="s">
        <v>939</v>
      </c>
      <c r="T13" s="29">
        <v>-3500000</v>
      </c>
      <c r="U13" s="11">
        <v>5</v>
      </c>
      <c r="V13" s="29">
        <f t="shared" si="5"/>
        <v>-17500000</v>
      </c>
      <c r="W13" s="11" t="s">
        <v>948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1098</v>
      </c>
      <c r="L14" s="25"/>
      <c r="O14" s="25"/>
      <c r="R14" s="25"/>
      <c r="S14" s="29" t="s">
        <v>958</v>
      </c>
      <c r="T14" s="29">
        <v>-500000</v>
      </c>
      <c r="U14" s="11">
        <v>100</v>
      </c>
      <c r="V14" s="29">
        <f t="shared" si="5"/>
        <v>-50000000</v>
      </c>
      <c r="W14" s="11" t="s">
        <v>1045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L27</f>
        <v>91034358</v>
      </c>
      <c r="G15" s="29">
        <f t="shared" si="0"/>
        <v>3518642</v>
      </c>
      <c r="H15" s="11"/>
      <c r="K15" s="2" t="s">
        <v>451</v>
      </c>
      <c r="L15" s="2" t="s">
        <v>452</v>
      </c>
      <c r="M15" s="2"/>
      <c r="N15" s="2" t="s">
        <v>754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984347</v>
      </c>
      <c r="M16" s="2" t="s">
        <v>755</v>
      </c>
      <c r="N16" s="3">
        <f>'مسکن مریم یاران'!B127</f>
        <v>24527461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1258739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756</v>
      </c>
      <c r="N18" s="3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-7200000</v>
      </c>
      <c r="M19" s="2" t="s">
        <v>763</v>
      </c>
      <c r="N19" s="3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350000</v>
      </c>
      <c r="M20" s="2" t="s">
        <v>764</v>
      </c>
      <c r="N20" s="3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734</v>
      </c>
      <c r="L21" s="43">
        <v>0</v>
      </c>
      <c r="M21" s="2" t="s">
        <v>765</v>
      </c>
      <c r="N21" s="3">
        <f>-1*L19</f>
        <v>7200000</v>
      </c>
      <c r="S21" s="29"/>
      <c r="T21" s="11"/>
      <c r="U21" s="11"/>
      <c r="V21" s="11"/>
      <c r="W21" s="11" t="s">
        <v>722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938</v>
      </c>
      <c r="L22" s="43">
        <v>4800000</v>
      </c>
      <c r="M22" s="2" t="s">
        <v>757</v>
      </c>
      <c r="N22" s="3">
        <v>980000</v>
      </c>
      <c r="P22" t="s">
        <v>25</v>
      </c>
      <c r="S22" s="11"/>
      <c r="T22" s="11"/>
      <c r="U22" s="11"/>
      <c r="V22" s="11"/>
      <c r="W22" s="11" t="s">
        <v>758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951</v>
      </c>
      <c r="L23" s="43">
        <v>0</v>
      </c>
      <c r="M23" s="2" t="s">
        <v>769</v>
      </c>
      <c r="N23" s="3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2" t="s">
        <v>1136</v>
      </c>
      <c r="L24" s="43">
        <f>سکه!T22</f>
        <v>91000000</v>
      </c>
      <c r="M24" s="2" t="s">
        <v>905</v>
      </c>
      <c r="N24" s="3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2"/>
      <c r="L25" s="43"/>
      <c r="M25" s="2" t="s">
        <v>1136</v>
      </c>
      <c r="N25" s="3">
        <f>سکه!U22</f>
        <v>77000000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2"/>
      <c r="L26" s="43"/>
      <c r="M26" s="2"/>
      <c r="N26" s="3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 t="s">
        <v>598</v>
      </c>
      <c r="L27" s="3">
        <f>SUM(L16:L24)</f>
        <v>91034358</v>
      </c>
      <c r="M27" s="2"/>
      <c r="N27" s="3">
        <f>SUM(N16:N25)</f>
        <v>154166200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599</v>
      </c>
      <c r="L28" s="3">
        <f>L16+L17+L20</f>
        <v>1434358</v>
      </c>
      <c r="M28" s="2"/>
      <c r="N28" s="3">
        <f>N16+N17+N22</f>
        <v>26766200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56" t="s">
        <v>717</v>
      </c>
      <c r="L29" s="1">
        <f>L27+N7</f>
        <v>148034358</v>
      </c>
      <c r="M29" s="3"/>
      <c r="N29" s="2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798</v>
      </c>
      <c r="L65" s="48" t="s">
        <v>476</v>
      </c>
    </row>
    <row r="66" spans="1:12" x14ac:dyDescent="0.25">
      <c r="K66" s="47">
        <v>1440000</v>
      </c>
      <c r="L66" s="48" t="s">
        <v>1073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180000</v>
      </c>
      <c r="L68" s="48" t="s">
        <v>558</v>
      </c>
    </row>
    <row r="69" spans="1:12" x14ac:dyDescent="0.25">
      <c r="K69" s="47">
        <v>300000</v>
      </c>
      <c r="L69" s="48" t="s">
        <v>794</v>
      </c>
    </row>
    <row r="70" spans="1:12" x14ac:dyDescent="0.25">
      <c r="K70" s="47">
        <v>250000</v>
      </c>
      <c r="L70" s="48" t="s">
        <v>795</v>
      </c>
    </row>
    <row r="71" spans="1:12" x14ac:dyDescent="0.25">
      <c r="K71" s="47">
        <v>500000</v>
      </c>
      <c r="L71" s="48" t="s">
        <v>796</v>
      </c>
    </row>
    <row r="72" spans="1:12" x14ac:dyDescent="0.25">
      <c r="K72" s="47">
        <v>75000</v>
      </c>
      <c r="L72" s="48" t="s">
        <v>797</v>
      </c>
    </row>
    <row r="73" spans="1:12" x14ac:dyDescent="0.25">
      <c r="K73" s="47">
        <v>450000</v>
      </c>
      <c r="L73" s="48" t="s">
        <v>799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802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4385000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814</v>
      </c>
      <c r="B9" s="3">
        <v>-80000</v>
      </c>
      <c r="C9" t="s">
        <v>826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909</v>
      </c>
      <c r="B10" s="3">
        <v>850000</v>
      </c>
      <c r="C10" t="s">
        <v>915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931</v>
      </c>
      <c r="B11" s="3">
        <v>-700000</v>
      </c>
      <c r="C11" t="s">
        <v>941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939</v>
      </c>
      <c r="B12" s="3">
        <v>1000000</v>
      </c>
      <c r="C12" t="s">
        <v>942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1068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1074</v>
      </c>
      <c r="B14" s="3">
        <v>-191000</v>
      </c>
      <c r="C14" t="s">
        <v>941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1129</v>
      </c>
      <c r="B15" s="3">
        <v>-200000</v>
      </c>
      <c r="C15" t="s">
        <v>826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1074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804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1156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1074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1156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747</v>
      </c>
      <c r="I39" s="11">
        <v>190000</v>
      </c>
      <c r="J39" s="11" t="s">
        <v>746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745</v>
      </c>
      <c r="I40" s="11">
        <v>225000</v>
      </c>
      <c r="J40" s="11" t="s">
        <v>744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1156</v>
      </c>
      <c r="I41" s="11">
        <v>231000</v>
      </c>
      <c r="J41" s="11" t="s">
        <v>791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792</v>
      </c>
      <c r="I42" s="11">
        <v>216000</v>
      </c>
      <c r="J42" s="11" t="s">
        <v>793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827</v>
      </c>
      <c r="I43" s="11">
        <v>227000</v>
      </c>
      <c r="J43" s="11" t="s">
        <v>828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893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1156</v>
      </c>
      <c r="I45" s="11">
        <v>231000</v>
      </c>
      <c r="J45" s="11" t="s">
        <v>1155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سکه</vt:lpstr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2018-04-07T11:07:58Z</dcterms:modified>
</cp:coreProperties>
</file>